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INSERT- HYDRAULICS" sheetId="2" r:id="rId2"/>
    <sheet name="afflux calculation" sheetId="3" r:id="rId3"/>
    <sheet name="HYDRAULICS" sheetId="4" r:id="rId4"/>
    <sheet name="Deck Anchorage" sheetId="5" r:id="rId5"/>
    <sheet name="CROSS SECTION" sheetId="6" r:id="rId6"/>
    <sheet name="Bed Slope" sheetId="7" r:id="rId7"/>
    <sheet name="SBC" sheetId="8" r:id="rId8"/>
    <sheet name="STABILITY CHECK FOR PIER" sheetId="9" r:id="rId9"/>
    <sheet name="abstract of stresses" sheetId="10" r:id="rId10"/>
    <sheet name="STEEL IN FLARED  PIER BASE " sheetId="11" r:id="rId11"/>
    <sheet name="STEEL IN PIER" sheetId="12" r:id="rId12"/>
    <sheet name="FOOTING DESIGN" sheetId="13" r:id="rId13"/>
    <sheet name="Footing STRESS DIAGRAM" sheetId="14" r:id="rId14"/>
    <sheet name="Pier Cap LL tracked vehicle" sheetId="15" r:id="rId15"/>
    <sheet name="Pier Cap" sheetId="16" r:id="rId16"/>
    <sheet name="LLOAD" sheetId="17" r:id="rId17"/>
    <sheet name="loadsumm " sheetId="18" r:id="rId18"/>
    <sheet name="LL-ABSTRACT" sheetId="19" r:id="rId19"/>
    <sheet name="TYPE1-AbutMENT Drawing" sheetId="20" r:id="rId20"/>
    <sheet name="TYPE1-STABILITY CHECK ABUTMENT" sheetId="21" r:id="rId21"/>
    <sheet name="TYPE1-ABUTMENT FOOTING DESIGN" sheetId="22" r:id="rId22"/>
    <sheet name="TYPE1- Abut Footing STRESS" sheetId="23" r:id="rId23"/>
    <sheet name="TYPE1-STEEL IN ABUTMENT" sheetId="24" r:id="rId24"/>
    <sheet name="TYPE1-Abutment Cap" sheetId="25" r:id="rId25"/>
    <sheet name="TYPE1-DIRT WALL REINFORCEMENT" sheetId="26" r:id="rId26"/>
    <sheet name="TYPE1-DIRT DirectLoad_BM" sheetId="27" r:id="rId27"/>
    <sheet name="TYPE1-DIRT LL_BM" sheetId="28" r:id="rId28"/>
    <sheet name="TechNote" sheetId="29" r:id="rId29"/>
    <sheet name="INSERT C1-ABUT" sheetId="30" r:id="rId30"/>
    <sheet name="C1-AbutMENT Drawing" sheetId="31" r:id="rId31"/>
    <sheet name="C1-STABILITY CHECK ABUTMENT" sheetId="32" r:id="rId32"/>
    <sheet name="C1-ABUTMENT FOOTING DESIGN" sheetId="33" r:id="rId33"/>
    <sheet name="C1-Abut Footing STRESS DIAGRAM" sheetId="34" r:id="rId34"/>
    <sheet name="CAN-RETURN FOOTING DESIGN" sheetId="35" r:id="rId35"/>
    <sheet name="STEEL IN CANT-ABUTMENT" sheetId="36" r:id="rId36"/>
    <sheet name="STEEL IN CANT-RETURNS" sheetId="37" r:id="rId37"/>
    <sheet name="C1-Abutment Cap" sheetId="38" r:id="rId38"/>
    <sheet name="C1-DIRT WALL REINFORCEMENT" sheetId="39" r:id="rId39"/>
    <sheet name="C1-DIRT DirectLoad_BM" sheetId="40" r:id="rId40"/>
    <sheet name="C1-DIRT LL_BM" sheetId="41" r:id="rId41"/>
    <sheet name="INSERT ESTIMATE" sheetId="42" r:id="rId42"/>
    <sheet name="Tech Report" sheetId="43" r:id="rId43"/>
    <sheet name="General Abs. " sheetId="44" r:id="rId44"/>
    <sheet name="Abstract" sheetId="45" r:id="rId45"/>
    <sheet name="Bridge measurements" sheetId="46" r:id="rId46"/>
  </sheets>
  <definedNames>
    <definedName name="a">#REF!</definedName>
    <definedName name="aa">#REF!</definedName>
    <definedName name="B">[10]Abstract!#REF!</definedName>
    <definedName name="Cft">0.583333333333333</definedName>
    <definedName name="CUM">#REF!</definedName>
    <definedName name="_xlnm.Database">#REF!</definedName>
    <definedName name="Dslab" localSheetId="17">[4]dlvoid!$H$25</definedName>
    <definedName name="G509a55">#REF!</definedName>
    <definedName name="_HFL1" localSheetId="44">#N/A</definedName>
    <definedName name="_HFL1" localSheetId="45">#N/A</definedName>
    <definedName name="_HFL1" localSheetId="33">#N/A</definedName>
    <definedName name="_HFL1" localSheetId="37">#N/A</definedName>
    <definedName name="_HFL1" localSheetId="30">#N/A</definedName>
    <definedName name="_HFL1" localSheetId="32">#N/A</definedName>
    <definedName name="_HFL1" localSheetId="39">#N/A</definedName>
    <definedName name="_HFL1" localSheetId="40">#N/A</definedName>
    <definedName name="_HFL1" localSheetId="38">#N/A</definedName>
    <definedName name="_HFL1" localSheetId="31">#N/A</definedName>
    <definedName name="_HFL1" localSheetId="34">#N/A</definedName>
    <definedName name="_HFL1" localSheetId="43">#N/A</definedName>
    <definedName name="_HFL1" localSheetId="0">#N/A</definedName>
    <definedName name="_HFL1" localSheetId="29">#N/A</definedName>
    <definedName name="_HFL1" localSheetId="41">#N/A</definedName>
    <definedName name="_HFL1" localSheetId="7">#N/A</definedName>
    <definedName name="_HFL1" localSheetId="35">#N/A</definedName>
    <definedName name="_HFL1" localSheetId="36">#N/A</definedName>
    <definedName name="_HFL1" localSheetId="42">#N/A</definedName>
    <definedName name="_HFL1" localSheetId="28">#N/A</definedName>
    <definedName name="_HFL1">#REF!</definedName>
    <definedName name="HLB" localSheetId="44">#N/A</definedName>
    <definedName name="HLB" localSheetId="45">#N/A</definedName>
    <definedName name="HLB" localSheetId="33">#N/A</definedName>
    <definedName name="HLB" localSheetId="37">#N/A</definedName>
    <definedName name="HLB" localSheetId="30">#N/A</definedName>
    <definedName name="HLB" localSheetId="32">#N/A</definedName>
    <definedName name="HLB" localSheetId="39">#N/A</definedName>
    <definedName name="HLB" localSheetId="40">#N/A</definedName>
    <definedName name="HLB" localSheetId="38">#N/A</definedName>
    <definedName name="HLB" localSheetId="31">#N/A</definedName>
    <definedName name="HLB" localSheetId="34">#N/A</definedName>
    <definedName name="HLB" localSheetId="43">#N/A</definedName>
    <definedName name="HLB" localSheetId="0">#N/A</definedName>
    <definedName name="HLB" localSheetId="29">#N/A</definedName>
    <definedName name="HLB" localSheetId="41">#N/A</definedName>
    <definedName name="HLB" localSheetId="7">#N/A</definedName>
    <definedName name="HLB" localSheetId="35">#N/A</definedName>
    <definedName name="HLB" localSheetId="36">#N/A</definedName>
    <definedName name="HLB" localSheetId="42">#N/A</definedName>
    <definedName name="HLB" localSheetId="28">#N/A</definedName>
    <definedName name="HLB">#REF!</definedName>
    <definedName name="L_Bhisti">[11]Labour!$D$3</definedName>
    <definedName name="L_BitumenSprayer">[11]Labour!$D$4</definedName>
    <definedName name="L_Blacksmith">[11]Labour!$D$5</definedName>
    <definedName name="L_Blaster">[11]Labour!$D$6</definedName>
    <definedName name="L_Carpenter_1stClass">[11]Labour!$D$7</definedName>
    <definedName name="L_ChipsSpreader">[11]Labour!$D$8</definedName>
    <definedName name="L_Chiseller">[11]Labour!$D$9</definedName>
    <definedName name="L_Dresser_Skilled">[11]Labour!$D$10</definedName>
    <definedName name="L_Driller">[11]Labour!$D$11</definedName>
    <definedName name="L_Electrician_Lineman">[11]Labour!$D$12</definedName>
    <definedName name="L_Fitter">[11]Labour!$D$13</definedName>
    <definedName name="L_Mason_1stClass">[11]Labour!$D$14</definedName>
    <definedName name="L_Mason_2ndClass">[11]Labour!$D$15</definedName>
    <definedName name="L_Mate">[11]Labour!$D$16</definedName>
    <definedName name="L_Mazdoor">[11]Labour!$D$17</definedName>
    <definedName name="L_Mazdoor_Semi">[11]Labour!$D$18</definedName>
    <definedName name="L_Mazdoor_Skilled">[11]Labour!$D$19</definedName>
    <definedName name="L_Painter_1stClass">[11]Labour!$D$20</definedName>
    <definedName name="L_Plumber">[11]Labour!$D$21</definedName>
    <definedName name="L_Surveyor">[11]Labour!$D$22</definedName>
    <definedName name="L_WhiteWasher">[11]Labour!$D$23</definedName>
    <definedName name="load" localSheetId="44">#N/A</definedName>
    <definedName name="load" localSheetId="45">#N/A</definedName>
    <definedName name="load" localSheetId="33">#N/A</definedName>
    <definedName name="load" localSheetId="37">#N/A</definedName>
    <definedName name="load" localSheetId="30">#N/A</definedName>
    <definedName name="load" localSheetId="32">#N/A</definedName>
    <definedName name="load" localSheetId="39">#N/A</definedName>
    <definedName name="load" localSheetId="40">#N/A</definedName>
    <definedName name="load" localSheetId="38">#N/A</definedName>
    <definedName name="load" localSheetId="31">#N/A</definedName>
    <definedName name="load" localSheetId="34">#N/A</definedName>
    <definedName name="load" localSheetId="43">#N/A</definedName>
    <definedName name="load" localSheetId="0">#N/A</definedName>
    <definedName name="load" localSheetId="29">#N/A</definedName>
    <definedName name="load" localSheetId="41">#N/A</definedName>
    <definedName name="load" localSheetId="16">LLOAD!$E$192</definedName>
    <definedName name="load" localSheetId="7">#N/A</definedName>
    <definedName name="load" localSheetId="35">#N/A</definedName>
    <definedName name="load" localSheetId="36">#N/A</definedName>
    <definedName name="load" localSheetId="42">#N/A</definedName>
    <definedName name="load" localSheetId="28">#N/A</definedName>
    <definedName name="load">#REF!</definedName>
    <definedName name="load1" localSheetId="44">#N/A</definedName>
    <definedName name="load1" localSheetId="45">#N/A</definedName>
    <definedName name="load1" localSheetId="33">#N/A</definedName>
    <definedName name="load1" localSheetId="37">#N/A</definedName>
    <definedName name="load1" localSheetId="30">#N/A</definedName>
    <definedName name="load1" localSheetId="32">#N/A</definedName>
    <definedName name="load1" localSheetId="39">#N/A</definedName>
    <definedName name="load1" localSheetId="40">#N/A</definedName>
    <definedName name="load1" localSheetId="38">#N/A</definedName>
    <definedName name="load1" localSheetId="31">#N/A</definedName>
    <definedName name="load1" localSheetId="34">#N/A</definedName>
    <definedName name="load1" localSheetId="43">#N/A</definedName>
    <definedName name="load1" localSheetId="0">#N/A</definedName>
    <definedName name="load1" localSheetId="29">#N/A</definedName>
    <definedName name="load1" localSheetId="41">#N/A</definedName>
    <definedName name="load1" localSheetId="16">LLOAD!$D$192</definedName>
    <definedName name="load1" localSheetId="7">#N/A</definedName>
    <definedName name="load1" localSheetId="35">#N/A</definedName>
    <definedName name="load1" localSheetId="36">#N/A</definedName>
    <definedName name="load1" localSheetId="42">#N/A</definedName>
    <definedName name="load1" localSheetId="28">#N/A</definedName>
    <definedName name="load1">#REF!</definedName>
    <definedName name="M_ACPipe_100">[11]Material!$D$3</definedName>
    <definedName name="M_Aggregate_10">[11]Material!$D$17</definedName>
    <definedName name="M_Aggregate_20">[11]Material!$D$18</definedName>
    <definedName name="M_Aggregate_224_236m_WMM">[11]Material!$D$26</definedName>
    <definedName name="M_Aggregate_375mmMaximum_224_56mm">[11]Material!$D$4</definedName>
    <definedName name="M_Aggregate_375mmMaximum_45_225mm">[11]Material!$D$5</definedName>
    <definedName name="M_Aggregate_375mmMaximum_Below_56mm">[11]Material!$D$6</definedName>
    <definedName name="M_Aggregate_40">[11]Material!$D$19</definedName>
    <definedName name="M_Aggregate_45_224m_WMM">[11]Material!$D$27</definedName>
    <definedName name="M_Aggregate_53mmMaximum_225_56mm">[11]Material!$D$7</definedName>
    <definedName name="M_Aggregate_53mmMaximum_63_45mm">[11]Material!$D$8</definedName>
    <definedName name="M_Aggregate_53mmMaximum_below_56mm">[11]Material!$D$9</definedName>
    <definedName name="M_Aggregate_Crushable_GradeI">[11]Material!$D$20</definedName>
    <definedName name="M_Aggregate_Crushable_GradeII">[11]Material!$D$21</definedName>
    <definedName name="M_Aggregate_Crushable_GradeIII">[11]Material!$D$22</definedName>
    <definedName name="M_Aggregate_GradeI_40mmNominal_10_5mm">[11]Material!$D$10</definedName>
    <definedName name="M_Aggregate_GradeI_40mmNominal_25_10mm">[11]Material!$D$11</definedName>
    <definedName name="M_Aggregate_GradeI_40mmNominal_3725_25mm">[11]Material!$D$12</definedName>
    <definedName name="M_Aggregate_GradeI_40mmNominal_5mm">[11]Material!$D$13</definedName>
    <definedName name="M_Aggregate_GradeI_90_45mm">[11]Material!$D$23</definedName>
    <definedName name="M_Aggregate_GradeII_19mmNominal_10_5mm">[11]Material!$D$14</definedName>
    <definedName name="M_Aggregate_GradeII_19mmNominal_25_10mm">[11]Material!$D$15</definedName>
    <definedName name="M_Aggregate_GradeII_19mmNominal_5mm_below">[11]Material!$D$16</definedName>
    <definedName name="M_Aggregate_GradeII_63_45mm">[11]Material!$D$24</definedName>
    <definedName name="M_Aggregate_GradeIII_53_224mm">[11]Material!$D$25</definedName>
    <definedName name="M_AluminiumSheeting_15mm">[11]Material!$D$28</definedName>
    <definedName name="M_AluminiumStuds_100_100_Lense">[11]Material!$D$29</definedName>
    <definedName name="M_Bamboo_1stClass_85_100mm_25m_long">[11]Material!$D$31</definedName>
    <definedName name="M_Bamboo_1stClass_85_100mm_2m_long">[11]Material!$D$30</definedName>
    <definedName name="M_Bamboo_1stClass_85_100mm_3m_long">[11]Material!$D$32</definedName>
    <definedName name="M_Bamboo_1stClass_85_100mm_45_55m_long">[11]Material!$D$33</definedName>
    <definedName name="M_Bamboo_2ndClass_75mm_18_25m_long">[11]Material!$D$34</definedName>
    <definedName name="M_Bamboo_2ndClass_75mm_21_30m_long">[11]Material!$D$35</definedName>
    <definedName name="M_BarbedWire">[11]Material!$D$36</definedName>
    <definedName name="M_BindingMaterial">[11]Material!$D$37</definedName>
    <definedName name="M_BindingWire">[11]Material!$D$38</definedName>
    <definedName name="M_Bitumen_CRM">[11]Material!$D$39</definedName>
    <definedName name="M_Bitumen_NRM">[11]Material!$D$40</definedName>
    <definedName name="M_Bitumen_PM">[11]Material!$D$41</definedName>
    <definedName name="M_Bitumen_S65">[11]Material!$D$42</definedName>
    <definedName name="M_Bitumen_S90">[11]Material!$D$43</definedName>
    <definedName name="M_BitumenEmulsion_RS1">[11]Material!$D$44</definedName>
    <definedName name="M_BitumenEmulsion_SS1">[11]Material!$D$45</definedName>
    <definedName name="M_BitumenSealant">[11]Material!$D$46</definedName>
    <definedName name="M_Blasted_Rubble">[11]Material!$D$47</definedName>
    <definedName name="M_BlastingMaterial">[11]Material!$D$48</definedName>
    <definedName name="M_BondStone_400_150_150mm">[11]Material!$D$49</definedName>
    <definedName name="M_Brick_1stClass">[11]Material!$D$50</definedName>
    <definedName name="M_Cement">[11]Material!$D$51</definedName>
    <definedName name="M_CementPrimer">[11]Material!$D$52</definedName>
    <definedName name="M_ChlorpreneElastomer_OR_ClosedCellFoamSealingElement">[11]Material!$D$53</definedName>
    <definedName name="M_CompensationForEarthTakenFromPrivateLand">[11]Material!$D$54</definedName>
    <definedName name="M_CompressibleFibreBoard">[11]Material!$D$55</definedName>
    <definedName name="M_CopperPlate">[11]Material!$D$56</definedName>
    <definedName name="M_CorbellingStones_300_150_150mm">[11]Material!$D$57</definedName>
    <definedName name="M_CorrosionResistantStructuralSteelGrating">[11]Material!$D$58</definedName>
    <definedName name="M_CreditForExcavatedRock">[11]Material!$D$59</definedName>
    <definedName name="M_CrowBars_40mm">[11]Material!$D$60</definedName>
    <definedName name="M_CrushedSand_OR_Grit">[11]Material!$D$61</definedName>
    <definedName name="M_CrushedSlag">[11]Material!$D$62</definedName>
    <definedName name="M_CrushedStoneAggregate_265_75">[11]Material!$D$63</definedName>
    <definedName name="M_CrushedStoneChipping_132">[11]Material!$D$64</definedName>
    <definedName name="M_CrushedStoneChipping_67mm_100Passing_112mm">[11]Material!$D$65</definedName>
    <definedName name="M_CrushedStoneChipping_67mm_100Passing_95mm">[11]Material!$D$66</definedName>
    <definedName name="M_CrushedStoneChipping_95">[11]Material!$D$67</definedName>
    <definedName name="M_CrushedStoneCoarseAggregatePassing_53mm">[11]Material!$D$68</definedName>
    <definedName name="M_CuringCompound">[11]Material!$D$69</definedName>
    <definedName name="M_DebondingStrips">[11]Material!$D$70</definedName>
    <definedName name="M_EdgeStone_450_350_100mm">[11]Material!$D$71</definedName>
    <definedName name="M_EdgeStone_450_350_200mm">[11]Material!$D$72</definedName>
    <definedName name="M_ElastomericBearingAssembly">[11]Material!$D$73</definedName>
    <definedName name="M_ElectricDetonator">[11]Material!$D$74</definedName>
    <definedName name="M_EpoxyPaint">[11]Material!$D$75</definedName>
    <definedName name="M_EpoxyPrimer">#REF!</definedName>
    <definedName name="M_FarmyardManure">[11]Material!$D$77</definedName>
    <definedName name="M_FevicolAdhesive">[11]Material!$D$78</definedName>
    <definedName name="M_FilterMedia">[11]Material!$D$79</definedName>
    <definedName name="M_FineAggregate_CrushedSand">[11]Material!$D$80</definedName>
    <definedName name="M_GalvanisedAngle">[11]Material!$D$81</definedName>
    <definedName name="M_GalvanisedAngleSection_100_100mm_12mm">#REF!</definedName>
    <definedName name="M_Gelatine_80">[11]Material!$D$83</definedName>
    <definedName name="M_GIPipe_100mm">[11]Material!$D$84</definedName>
    <definedName name="M_GIPipe_50mm">[11]Material!$D$85</definedName>
    <definedName name="M_GIWires">[11]Material!$D$86</definedName>
    <definedName name="M_GradedStoneAggregate">[11]Material!$D$87</definedName>
    <definedName name="M_GranularMaterial">[11]Material!$D$88</definedName>
    <definedName name="M_HandBrokenMetal_40mm">[11]Material!$D$89</definedName>
    <definedName name="M_Indigo">[11]Material!$D$90</definedName>
    <definedName name="M_InterlockingBlocks_60mm">[11]Material!$D$91</definedName>
    <definedName name="M_InterlockingBlocks_80mm">[11]Material!$D$92</definedName>
    <definedName name="M_JointFillerBoard">[11]Material!$D$93</definedName>
    <definedName name="M_JuteNetting_OpenWeave_25mm">[11]Material!$D$94</definedName>
    <definedName name="M_JuteRope_12mm">[11]Material!$D$95</definedName>
    <definedName name="M_KeyAggregatesPassing_224mm">[11]Material!$D$96</definedName>
    <definedName name="M_Lime">[11]Material!$D$97</definedName>
    <definedName name="M_LimePutty">#REF!</definedName>
    <definedName name="M_LocalWoodPiles_1stClass">[11]Material!$D$99</definedName>
    <definedName name="M_LocalWoodPiles_1stClass_100_75mm">[11]Material!$D$100</definedName>
    <definedName name="M_LooseStone">[11]Material!$D$101</definedName>
    <definedName name="M_MS_Sheet_15mm">[11]Material!$D$105</definedName>
    <definedName name="M_MS_Sheet_2mm">[11]Material!$D$106</definedName>
    <definedName name="M_MSClamps">[11]Material!$D$102</definedName>
    <definedName name="M_MSFlat_StructuralSteel">[11]Material!$D$103</definedName>
    <definedName name="M_MSSheetTube_47_47mm_12_SWG">[11]Material!$D$104</definedName>
    <definedName name="M_Nuts_Bolts_Rivets">[11]Material!$D$107</definedName>
    <definedName name="M_Paint_SyntheticEnamel">[11]Material!$D$108</definedName>
    <definedName name="M_Plasticizer">[11]Material!$D$109</definedName>
    <definedName name="M_PolytheneSheet_125">[11]Material!$D$110</definedName>
    <definedName name="M_PolytheneSheething">[11]Material!$D$111</definedName>
    <definedName name="M_QuarriedStone_150_200mm">[11]Material!$D$112</definedName>
    <definedName name="M_RCCPipeNP3_1000mm">[11]Material!$D$114</definedName>
    <definedName name="M_RCCPipeNP3_1200mm">[11]Material!$D$113</definedName>
    <definedName name="M_RCCPipeNP3_500mm">[11]Material!$D$117</definedName>
    <definedName name="M_RCCPipeNP3_600mm">#REF!</definedName>
    <definedName name="M_RCCPipeNP3_750mm">[11]Material!$D$115</definedName>
    <definedName name="M_RCCPipeNP4_1000mm">[11]Material!$D$119</definedName>
    <definedName name="M_RCCPipeNP4_1200mm">[11]Material!$D$118</definedName>
    <definedName name="M_RCCPipeNP4_500mm">[11]Material!$D$122</definedName>
    <definedName name="M_RCCPipeNP4_750mm">[11]Material!$D$120</definedName>
    <definedName name="M_RedOxidePrimer">[11]Material!$D$123</definedName>
    <definedName name="M_RoadMarkingPaint">[11]Material!$D$124</definedName>
    <definedName name="M_Sand_Coarse">[11]Material!$D$125</definedName>
    <definedName name="M_Sand_Fine">[11]Material!$D$126</definedName>
    <definedName name="M_Seeds">[11]Material!$D$127</definedName>
    <definedName name="M_SteelPipe_500mm">[11]Material!$D$128</definedName>
    <definedName name="M_SteelReinforcement_HYSDBars">[11]Material!$D$129</definedName>
    <definedName name="M_SteelReinforcement_MSRoundBars">[11]Material!$D$130</definedName>
    <definedName name="M_SteelReinforcement_TMTBars">[11]Material!$D$131</definedName>
    <definedName name="M_StoneBoulder_150mm_below">[11]Material!$D$132</definedName>
    <definedName name="M_StoneChips_12mm">[11]Material!$D$133</definedName>
    <definedName name="M_StoneChips_132_56mm">#REF!</definedName>
    <definedName name="M_StoneCrushedAggregate_112_009mm">[11]Material!$D$135</definedName>
    <definedName name="M_StoneForCoarseRubbleMasonry_1stSort">[11]Material!$D$136</definedName>
    <definedName name="M_StoneForCoarseRubbleMasonry_2ndSort">[11]Material!$D$137</definedName>
    <definedName name="M_StoneForRandomRubbleMasonry">[11]Material!$D$138</definedName>
    <definedName name="M_StoneForStoneSetPavement">[11]Material!$D$139</definedName>
    <definedName name="M_StoneScreening_TypeA_132mm_Grade1">[11]Material!$D$140</definedName>
    <definedName name="M_StoneScreening_TypeA_132mm_Grade2">#REF!</definedName>
    <definedName name="M_StoneScreening_TypeB_112mm_Grade2">[11]Material!$D$142</definedName>
    <definedName name="M_StoneScreening_TypeB_112mm_Grade3">[11]Material!$D$143</definedName>
    <definedName name="M_StoneSpalls">[11]Material!$D$144</definedName>
    <definedName name="M_TrafficCones">[11]Material!$D$145</definedName>
    <definedName name="M_Water">[11]Material!$D$146</definedName>
    <definedName name="M_WellGradedGranularBaseMaterial_GradeA_236mm">[11]Material!$D$147</definedName>
    <definedName name="M_WellGradedGranularBaseMaterial_GradeA_265_475mm">[11]Material!$D$148</definedName>
    <definedName name="M_WellGradedGranularBaseMaterial_GradeA_53_265mm">[11]Material!$D$149</definedName>
    <definedName name="M_WellGradedGranularBaseMaterial_GradeB_236mm_below">[11]Material!$D$150</definedName>
    <definedName name="M_WellGradedGranularBaseMaterial_GradeB_265_475mm">[11]Material!$D$151</definedName>
    <definedName name="M_WellGradedGranularBaseMaterial_GradeC_236mm_below">[11]Material!$D$152</definedName>
    <definedName name="M_WellGradedGranularBaseMaterial_GradeC_95_475mm">[11]Material!$D$153</definedName>
    <definedName name="M_WellGradedMateralForSubbase_GradeI_236mm_below">[11]Material!$D$154</definedName>
    <definedName name="M_WellGradedMateralForSubbase_GradeI_53_95mm">[11]Material!$D$155</definedName>
    <definedName name="M_WellGradedMateralForSubbase_GradeI_95_236mm">[11]Material!$D$156</definedName>
    <definedName name="M_WellGradedMateralForSubbase_GradeII_236mm_below">[11]Material!$D$157</definedName>
    <definedName name="M_WellGradedMateralForSubbase_GradeII_265_95mm">[11]Material!$D$158</definedName>
    <definedName name="M_WellGradedMateralForSubbase_GradeII_95_236mm">[11]Material!$D$159</definedName>
    <definedName name="M_WellGradedMateralForSubbase_GradeIII_236mm_below">[11]Material!$D$160</definedName>
    <definedName name="M_WellGradedMateralForSubbase_GradeIII_475_236mm">[11]Material!$D$161</definedName>
    <definedName name="M_WellGradedMateralForSubbase_GradeIII_95_475mm">[11]Material!$D$162</definedName>
    <definedName name="M_WoodenSleepers">[11]Material!$D$163</definedName>
    <definedName name="Mtr">#REF!</definedName>
    <definedName name="n">#REF!</definedName>
    <definedName name="OLE_LINK1" localSheetId="2">'afflux calculation'!$A$1</definedName>
    <definedName name="PM_AirCompressor_210cfm">'[11]Plant &amp;  Machinery'!$G$4</definedName>
    <definedName name="PM_BatchMixHMP_46_60THP">'[11]Plant &amp;  Machinery'!$G$5</definedName>
    <definedName name="PM_BatchTypeHMP_30_40">'[11]Plant &amp;  Machinery'!$G$6</definedName>
    <definedName name="PM_BitumenBoilerOilFired_1000">'[11]Plant &amp;  Machinery'!$G$9</definedName>
    <definedName name="PM_BitumenBoilerOilFired_200">'[11]Plant &amp;  Machinery'!$G$8</definedName>
    <definedName name="PM_BitumenEmulsionPressureDistributor">'[11]Plant &amp;  Machinery'!$G$10</definedName>
    <definedName name="PM_ConcreteMixer">'[11]Plant &amp;  Machinery'!$G$11</definedName>
    <definedName name="PM_Crane">'[11]Plant &amp;  Machinery'!$G$12</definedName>
    <definedName name="PM_Dozer_D50">'[11]Plant &amp;  Machinery'!$G$13</definedName>
    <definedName name="PM_Dozer_D50_1">#REF!</definedName>
    <definedName name="PM_ElectricGeneratorSet_125">'[11]Plant &amp;  Machinery'!$G$15</definedName>
    <definedName name="PM_EmulsionSprayer">#REF!</definedName>
    <definedName name="PM_FrontEndLoader_1cum">'[11]Plant &amp;  Machinery'!$G$17</definedName>
    <definedName name="PM_FrontEndLoader_1cum_Soil">#REF!</definedName>
    <definedName name="PM_HydraulicBroom">'[11]Plant &amp;  Machinery'!$G$19</definedName>
    <definedName name="PM_HydraulicExcavator_09cum">'[11]Plant &amp;  Machinery'!$G$20</definedName>
    <definedName name="PM_HydraulicSelfPropelledChipSpreader">'[11]Plant &amp;  Machinery'!$G$21</definedName>
    <definedName name="PM_JackHammer">'[11]Plant &amp;  Machinery'!$G$22</definedName>
    <definedName name="PM_JointCuttingMachine">'[11]Plant &amp;  Machinery'!$G$23</definedName>
    <definedName name="PM_Mixall_6_10t">'[11]Plant &amp;  Machinery'!$G$24</definedName>
    <definedName name="PM_MotorGrader">'[11]Plant &amp;  Machinery'!$G$25</definedName>
    <definedName name="PM_MotorGrader_1">#REF!</definedName>
    <definedName name="PM_NeedleVibrator">'[11]Plant &amp;  Machinery'!$G$27</definedName>
    <definedName name="PM_PaverFinisher">'[11]Plant &amp;  Machinery'!$G$28</definedName>
    <definedName name="PM_PlateCompactor">'[11]Plant &amp;  Machinery'!$G$29</definedName>
    <definedName name="PM_PlateVibrator">'[11]Plant &amp;  Machinery'!$G$30</definedName>
    <definedName name="PM_ScreedVibrator">'[11]Plant &amp;  Machinery'!$G$31</definedName>
    <definedName name="PM_SmoothWheeled_80_100kN_TandemRoller">#REF!</definedName>
    <definedName name="PM_StoneCrusher_200TPH">'[11]Plant &amp;  Machinery'!$G$33</definedName>
    <definedName name="PM_ThreeWheeled_80_100kN_StaticRoller">'[11]Plant &amp;  Machinery'!$G$34</definedName>
    <definedName name="PM_Tipper_55">'[11]Plant &amp;  Machinery'!$G$45</definedName>
    <definedName name="PM_Tractor_DiscHarrows">'[11]Plant &amp;  Machinery'!$G$46</definedName>
    <definedName name="PM_Tractor_Ripper">'[11]Plant &amp;  Machinery'!$G$47</definedName>
    <definedName name="PM_Tractor_Rotavator">'[11]Plant &amp;  Machinery'!$G$49</definedName>
    <definedName name="PM_Tractor_Trolley">'[11]Plant &amp;  Machinery'!$G$48</definedName>
    <definedName name="PM_Truck">'[11]Plant &amp;  Machinery'!$G$50</definedName>
    <definedName name="PM_VibratoryRoller_80_100kN">'[11]Plant &amp;  Machinery'!$G$51</definedName>
    <definedName name="PM_VibratoryRoller_80_100kN_1">#REF!</definedName>
    <definedName name="PM_WaterTanker_6kl">'[11]Plant &amp;  Machinery'!$G$53</definedName>
    <definedName name="PM_WetMixPlant_or_PugMill">'[11]Plant &amp;  Machinery'!$G$54</definedName>
    <definedName name="_xlnm.Print_Area" localSheetId="44">#N/A</definedName>
    <definedName name="_xlnm.Print_Area" localSheetId="45">#N/A</definedName>
    <definedName name="_xlnm.Print_Titles" localSheetId="44">#N/A</definedName>
    <definedName name="_xlnm.Print_Titles" localSheetId="45">#N/A</definedName>
    <definedName name="_xlnm.Print_Titles" localSheetId="12">'FOOTING DESIGN'!#REF!</definedName>
    <definedName name="_xlnm.Print_Titles" localSheetId="43">#N/A</definedName>
    <definedName name="_xlnm.Print_Titles" localSheetId="3">HYDRAULICS!$5:$5</definedName>
    <definedName name="_xlnm.Print_Titles" localSheetId="8">'STABILITY CHECK FOR PIER'!#REF!</definedName>
    <definedName name="_xlnm.Print_Titles" localSheetId="35">#N/A</definedName>
    <definedName name="_xlnm.Print_Titles" localSheetId="36">#N/A</definedName>
    <definedName name="_xlnm.Print_Titles" localSheetId="10">'STEEL IN FLARED  PIER BASE '!#REF!</definedName>
    <definedName name="_xlnm.Print_Titles" localSheetId="11">'STEEL IN PIER'!#REF!</definedName>
    <definedName name="_xlnm.Print_Titles" localSheetId="21">'TYPE1-ABUTMENT FOOTING DESIGN'!#REF!</definedName>
    <definedName name="_xlnm.Print_Titles" localSheetId="20">'TYPE1-STABILITY CHECK ABUTMENT'!#REF!</definedName>
    <definedName name="_xlnm.Print_Titles" localSheetId="23">'TYPE1-STEEL IN ABUTMENT'!#REF!</definedName>
    <definedName name="rkc">'[13]Plant &amp;  Machinery'!#REF!</definedName>
    <definedName name="RWC" localSheetId="44">#N/A</definedName>
    <definedName name="RWC" localSheetId="45">#N/A</definedName>
    <definedName name="RWC" localSheetId="33">#N/A</definedName>
    <definedName name="RWC" localSheetId="37">#N/A</definedName>
    <definedName name="RWC" localSheetId="30">#N/A</definedName>
    <definedName name="RWC" localSheetId="32">#N/A</definedName>
    <definedName name="RWC" localSheetId="39">#N/A</definedName>
    <definedName name="RWC" localSheetId="40">#N/A</definedName>
    <definedName name="RWC" localSheetId="38">#N/A</definedName>
    <definedName name="RWC" localSheetId="31">#N/A</definedName>
    <definedName name="RWC" localSheetId="34">#N/A</definedName>
    <definedName name="RWC" localSheetId="43">#N/A</definedName>
    <definedName name="RWC" localSheetId="0">#N/A</definedName>
    <definedName name="RWC" localSheetId="29">#N/A</definedName>
    <definedName name="RWC" localSheetId="41">#N/A</definedName>
    <definedName name="RWC" localSheetId="7">#N/A</definedName>
    <definedName name="RWC" localSheetId="35">#N/A</definedName>
    <definedName name="RWC" localSheetId="36">#N/A</definedName>
    <definedName name="RWC" localSheetId="42">#N/A</definedName>
    <definedName name="RWC" localSheetId="28">#N/A</definedName>
    <definedName name="RWC">#REF!</definedName>
    <definedName name="sadf">[14]Estimate!$C$5</definedName>
    <definedName name="span" localSheetId="44">#N/A</definedName>
    <definedName name="span" localSheetId="45">#N/A</definedName>
    <definedName name="span" localSheetId="33">#N/A</definedName>
    <definedName name="span" localSheetId="37">#N/A</definedName>
    <definedName name="span" localSheetId="30">#N/A</definedName>
    <definedName name="span" localSheetId="32">#N/A</definedName>
    <definedName name="span" localSheetId="39">#N/A</definedName>
    <definedName name="span" localSheetId="40">#N/A</definedName>
    <definedName name="span" localSheetId="38">#N/A</definedName>
    <definedName name="span" localSheetId="31">#N/A</definedName>
    <definedName name="span" localSheetId="34">#N/A</definedName>
    <definedName name="span" localSheetId="43">#N/A</definedName>
    <definedName name="span" localSheetId="0">#N/A</definedName>
    <definedName name="span" localSheetId="29">#N/A</definedName>
    <definedName name="span" localSheetId="41">#N/A</definedName>
    <definedName name="span" localSheetId="16">LLOAD!$C$25</definedName>
    <definedName name="span" localSheetId="7">#N/A</definedName>
    <definedName name="span" localSheetId="35">#N/A</definedName>
    <definedName name="span" localSheetId="36">#N/A</definedName>
    <definedName name="span" localSheetId="42">#N/A</definedName>
    <definedName name="span" localSheetId="28">#N/A</definedName>
    <definedName name="span">#REF!</definedName>
    <definedName name="Sqm">#REF!</definedName>
    <definedName name="two_span_length" localSheetId="44">#N/A</definedName>
    <definedName name="two_span_length" localSheetId="45">#N/A</definedName>
    <definedName name="two_span_length" localSheetId="33">#N/A</definedName>
    <definedName name="two_span_length" localSheetId="37">#N/A</definedName>
    <definedName name="two_span_length" localSheetId="30">#N/A</definedName>
    <definedName name="two_span_length" localSheetId="32">#N/A</definedName>
    <definedName name="two_span_length" localSheetId="39">#N/A</definedName>
    <definedName name="two_span_length" localSheetId="40">#N/A</definedName>
    <definedName name="two_span_length" localSheetId="38">#N/A</definedName>
    <definedName name="two_span_length" localSheetId="31">#N/A</definedName>
    <definedName name="two_span_length" localSheetId="34">#N/A</definedName>
    <definedName name="two_span_length" localSheetId="43">#N/A</definedName>
    <definedName name="two_span_length" localSheetId="0">#N/A</definedName>
    <definedName name="two_span_length" localSheetId="29">#N/A</definedName>
    <definedName name="two_span_length" localSheetId="41">#N/A</definedName>
    <definedName name="two_span_length" localSheetId="16">LLOAD!$T$200</definedName>
    <definedName name="two_span_length" localSheetId="7">#N/A</definedName>
    <definedName name="two_span_length" localSheetId="35">#N/A</definedName>
    <definedName name="two_span_length" localSheetId="36">#N/A</definedName>
    <definedName name="two_span_length" localSheetId="42">#N/A</definedName>
    <definedName name="two_span_length" localSheetId="28">#N/A</definedName>
    <definedName name="two_span_length">#REF!</definedName>
    <definedName name="v">#REF!</definedName>
    <definedName name="W" localSheetId="44">#N/A</definedName>
    <definedName name="W" localSheetId="45">#N/A</definedName>
    <definedName name="W" localSheetId="33">#N/A</definedName>
    <definedName name="W" localSheetId="37">#N/A</definedName>
    <definedName name="W" localSheetId="30">#N/A</definedName>
    <definedName name="W" localSheetId="32">#N/A</definedName>
    <definedName name="W" localSheetId="39">#N/A</definedName>
    <definedName name="W" localSheetId="40">#N/A</definedName>
    <definedName name="W" localSheetId="38">#N/A</definedName>
    <definedName name="W" localSheetId="31">#N/A</definedName>
    <definedName name="W" localSheetId="34">#N/A</definedName>
    <definedName name="W" localSheetId="43">#N/A</definedName>
    <definedName name="W" localSheetId="0">#N/A</definedName>
    <definedName name="W" localSheetId="29">#N/A</definedName>
    <definedName name="W" localSheetId="41">#N/A</definedName>
    <definedName name="W" localSheetId="7">#N/A</definedName>
    <definedName name="W" localSheetId="35">#N/A</definedName>
    <definedName name="W" localSheetId="36">#N/A</definedName>
    <definedName name="W" localSheetId="42">#N/A</definedName>
    <definedName name="W" localSheetId="28">#N/A</definedName>
    <definedName name="W">#REF!</definedName>
    <definedName name="WS" localSheetId="44">#N/A</definedName>
    <definedName name="WS" localSheetId="45">#N/A</definedName>
    <definedName name="WS" localSheetId="33">#N/A</definedName>
    <definedName name="WS" localSheetId="37">#N/A</definedName>
    <definedName name="WS" localSheetId="30">#N/A</definedName>
    <definedName name="WS" localSheetId="32">#N/A</definedName>
    <definedName name="WS" localSheetId="39">#N/A</definedName>
    <definedName name="WS" localSheetId="40">#N/A</definedName>
    <definedName name="WS" localSheetId="38">#N/A</definedName>
    <definedName name="WS" localSheetId="31">#N/A</definedName>
    <definedName name="WS" localSheetId="34">#N/A</definedName>
    <definedName name="WS" localSheetId="43">#N/A</definedName>
    <definedName name="WS" localSheetId="0">#N/A</definedName>
    <definedName name="WS" localSheetId="29">#N/A</definedName>
    <definedName name="WS" localSheetId="41">#N/A</definedName>
    <definedName name="WS" localSheetId="7">#N/A</definedName>
    <definedName name="WS" localSheetId="35">#N/A</definedName>
    <definedName name="WS" localSheetId="36">#N/A</definedName>
    <definedName name="WS" localSheetId="42">#N/A</definedName>
    <definedName name="WS" localSheetId="28">#N/A</definedName>
    <definedName name="WS">#REF!</definedName>
    <definedName name="z">#REF!</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<sst xmlns="http://schemas.openxmlformats.org/spreadsheetml/2006/main" count="7044" uniqueCount="1630">
  <si>
    <t>DESIGN OF SUBMERSIBLE SKEW BRIDGE ACROSS BEDACH RIVER</t>
  </si>
  <si>
    <t xml:space="preserve"> </t>
  </si>
  <si>
    <t>INDEX</t>
  </si>
  <si>
    <t>S.No</t>
  </si>
  <si>
    <t>Particulars</t>
  </si>
  <si>
    <t>Page</t>
  </si>
  <si>
    <t>Preamble</t>
  </si>
  <si>
    <t>Hydraulic Design</t>
  </si>
  <si>
    <t>Stability Check for Pier in Different Load Cases</t>
  </si>
  <si>
    <t>Computation of Reinforcement in Pier</t>
  </si>
  <si>
    <t>Design of Pier Footing</t>
  </si>
  <si>
    <t>Design of Pier Footing Cap</t>
  </si>
  <si>
    <t>Stability Check for Abutment in Different Load Cases</t>
  </si>
  <si>
    <t>Design of Abutment Footing</t>
  </si>
  <si>
    <t>Cross Sections &amp; L Section of the River</t>
  </si>
  <si>
    <t>Geotechnical Investigation Report</t>
  </si>
  <si>
    <t>General Arrangement Drawing</t>
  </si>
  <si>
    <t>Details of Pier Complete Drawing</t>
  </si>
  <si>
    <t>Pier Reinforcement Details</t>
  </si>
  <si>
    <t>Details of Bottom Anchorage of Pier</t>
  </si>
  <si>
    <t>Details of Reinforcement in Pier cap</t>
  </si>
  <si>
    <t>Deck Slab Anchorage Detail</t>
  </si>
  <si>
    <t>Details of Abutment Complete Drawing</t>
  </si>
  <si>
    <t>Details of Approach Slab</t>
  </si>
  <si>
    <t>Detailed Progress Report</t>
  </si>
  <si>
    <t>BRIDGE HYDRAULIC DESIGN INPUTS</t>
  </si>
  <si>
    <t>=============================</t>
  </si>
  <si>
    <t>PROJECT INFORMATION</t>
  </si>
  <si>
    <t>Project Name:</t>
  </si>
  <si>
    <t>Submersible Bridge Design</t>
  </si>
  <si>
    <t>Location:</t>
  </si>
  <si>
    <t>Bedach River</t>
  </si>
  <si>
    <t>HYDRAULIC PARAMETERS</t>
  </si>
  <si>
    <t>==================</t>
  </si>
  <si>
    <t>Geometric Parameters</t>
  </si>
  <si>
    <t>Span (m):</t>
  </si>
  <si>
    <t>Width (m):</t>
  </si>
  <si>
    <t>Number of Lanes:</t>
  </si>
  <si>
    <t>Flow Parameters</t>
  </si>
  <si>
    <t>Design Discharge (cumecs):</t>
  </si>
  <si>
    <t>Flood Level (m):</t>
  </si>
  <si>
    <t>Bed Level (m):</t>
  </si>
  <si>
    <t>Bed Slope:</t>
  </si>
  <si>
    <t>Material Properties</t>
  </si>
  <si>
    <t>Concrete Grade (fck, MPa):</t>
  </si>
  <si>
    <t>Steel Grade (fy, MPa):</t>
  </si>
  <si>
    <t>Soil Bearing Capacity (tonnes/m²):</t>
  </si>
  <si>
    <t xml:space="preserve">DESIGN OF SUBMERSIBLE BRIDGE _x000d_
</t>
  </si>
  <si>
    <t>Name Of Work :- Construction of Submersible Bridge on ON KHERWARA - JAWAS - SUVERI ROAD IN KM 9/000, ACROSS RIVER SOM</t>
  </si>
  <si>
    <t>Hydraulic Calculation</t>
  </si>
  <si>
    <t>Computation of Discharge</t>
  </si>
  <si>
    <t>Flood calculation by Area Velocity Method (As per Article- 5 of IRC SP-13)</t>
  </si>
  <si>
    <t>Q</t>
  </si>
  <si>
    <t>=</t>
  </si>
  <si>
    <t xml:space="preserve">A x V </t>
  </si>
  <si>
    <t>Where</t>
  </si>
  <si>
    <t>A</t>
  </si>
  <si>
    <t xml:space="preserve">m2 </t>
  </si>
  <si>
    <t>A =</t>
  </si>
  <si>
    <t>Cross sectional area in m2</t>
  </si>
  <si>
    <t>P</t>
  </si>
  <si>
    <t xml:space="preserve"> m</t>
  </si>
  <si>
    <t xml:space="preserve">P = </t>
  </si>
  <si>
    <t>Perimeter calculated in m</t>
  </si>
  <si>
    <t>S</t>
  </si>
  <si>
    <t>IN</t>
  </si>
  <si>
    <t>S =</t>
  </si>
  <si>
    <t xml:space="preserve">Slope as per drain LS taken at </t>
  </si>
  <si>
    <t>Proposal site</t>
  </si>
  <si>
    <t>n</t>
  </si>
  <si>
    <t xml:space="preserve">n = </t>
  </si>
  <si>
    <t xml:space="preserve">Rugosity coefficient </t>
  </si>
  <si>
    <t>(As per IRC SP-13)</t>
  </si>
  <si>
    <t>V</t>
  </si>
  <si>
    <t>I/nx (A/P) 2/3   x(S) 1/2</t>
  </si>
  <si>
    <t>V =</t>
  </si>
  <si>
    <t>Velocity in m/sec.</t>
  </si>
  <si>
    <t xml:space="preserve">  </t>
  </si>
  <si>
    <t>m/sec.</t>
  </si>
  <si>
    <t>Cumecs</t>
  </si>
  <si>
    <t>Linear Water Way Calculation</t>
  </si>
  <si>
    <t>Regime Surface width of the stream is given by :-</t>
  </si>
  <si>
    <t>L</t>
  </si>
  <si>
    <t xml:space="preserve"> = </t>
  </si>
  <si>
    <t>4.8 (Q)1/2</t>
  </si>
  <si>
    <t>m</t>
  </si>
  <si>
    <t xml:space="preserve">Looking to the built up Urban area constraints adopt </t>
  </si>
  <si>
    <t xml:space="preserve">Spans of </t>
  </si>
  <si>
    <t>M each.</t>
  </si>
  <si>
    <t>This will cause contraction and afflux. Calculation is done for the same to fix deck level.</t>
  </si>
  <si>
    <t>Effective linear water way proposed =</t>
  </si>
  <si>
    <t>x</t>
  </si>
  <si>
    <t>M</t>
  </si>
  <si>
    <t>Total</t>
  </si>
  <si>
    <t>Scour Depth Calculation</t>
  </si>
  <si>
    <t>(As per  clause no. 703.2.2.1 of IRC : 78.1983)</t>
  </si>
  <si>
    <t>dsm =</t>
  </si>
  <si>
    <t>1.34x (Db2 /Ksf)  1/3</t>
  </si>
  <si>
    <t>Db</t>
  </si>
  <si>
    <t>The discharge in Cumecs per meter width</t>
  </si>
  <si>
    <t>Ksf</t>
  </si>
  <si>
    <t>the silt factor</t>
  </si>
  <si>
    <t>Effective linear waterway</t>
  </si>
  <si>
    <t>Width of waterway   - Obstructed width of piper</t>
  </si>
  <si>
    <t>- (</t>
  </si>
  <si>
    <t>)</t>
  </si>
  <si>
    <t xml:space="preserve">=    </t>
  </si>
  <si>
    <t>/</t>
  </si>
  <si>
    <t>Cumecs per metre width</t>
  </si>
  <si>
    <t>As per Clause No. 703-2-3-1 of IRC 78-1983 considering Scour at the pier two times of calculated scour depth below the highest flood level. But hard rock is available in foundation so the foundation will be anchored in the rock as per IRC guidelines.</t>
  </si>
  <si>
    <t>Afflux Calculation</t>
  </si>
  <si>
    <t xml:space="preserve">As per IS: 7784 (Part -I) 1975 </t>
  </si>
  <si>
    <t>Molesworth Formula for Afflux</t>
  </si>
  <si>
    <t>Afflux h =</t>
  </si>
  <si>
    <t>((V2/17.85) +0.0152)x(A2/a2-1)</t>
  </si>
  <si>
    <t>Where,</t>
  </si>
  <si>
    <t>h</t>
  </si>
  <si>
    <t>afflux in m,</t>
  </si>
  <si>
    <t>v</t>
  </si>
  <si>
    <t>Velocity in the unobstructed stream in m/s,</t>
  </si>
  <si>
    <t>the unobstructed sectional area of the river in m2</t>
  </si>
  <si>
    <t>a</t>
  </si>
  <si>
    <t>the obstructed sectional area of the river at the cross drainage work in m2.</t>
  </si>
  <si>
    <t>As per Annexure- 1</t>
  </si>
  <si>
    <t>Unobstructed Area of Flow after Bridge Construction =</t>
  </si>
  <si>
    <t>Computation of Area obstructed by  Deck Slab</t>
  </si>
  <si>
    <t xml:space="preserve">HFL : </t>
  </si>
  <si>
    <t xml:space="preserve">Top Level of Deck slab : </t>
  </si>
  <si>
    <t>Thickness of Slab and Wearing Coat</t>
  </si>
  <si>
    <t>Length Of Slab</t>
  </si>
  <si>
    <t>Height of Obstruction</t>
  </si>
  <si>
    <t>Area obstructed by deck slab</t>
  </si>
  <si>
    <t>Computation of Area obstructed by  Piers</t>
  </si>
  <si>
    <t xml:space="preserve">Soffit of Deck slab : </t>
  </si>
  <si>
    <t xml:space="preserve">Average river bed level  = </t>
  </si>
  <si>
    <t xml:space="preserve">Nos. of pier </t>
  </si>
  <si>
    <t>-</t>
  </si>
  <si>
    <t xml:space="preserve">Area obstructed by one pier  :  = </t>
  </si>
  <si>
    <t xml:space="preserve">For 11 Nos. of piers = </t>
  </si>
  <si>
    <t>A1</t>
  </si>
  <si>
    <t>Computation of Area obstructed by  Abutments</t>
  </si>
  <si>
    <t xml:space="preserve">Average ground level  = </t>
  </si>
  <si>
    <t xml:space="preserve">Area obstructed by one Abutment  : A2 = </t>
  </si>
  <si>
    <t xml:space="preserve">(0.40+0.75)/2 </t>
  </si>
  <si>
    <t xml:space="preserve">For two Abutments = </t>
  </si>
  <si>
    <t xml:space="preserve">Total area of obstruction due to slab, piers and abutments A </t>
  </si>
  <si>
    <t xml:space="preserve">= </t>
  </si>
  <si>
    <t>A0 +A1 + A2</t>
  </si>
  <si>
    <t>+</t>
  </si>
  <si>
    <t>Actual Area of flow a =</t>
  </si>
  <si>
    <t>Afflux flood level =</t>
  </si>
  <si>
    <t xml:space="preserve"> Obstructed Velocity</t>
  </si>
  <si>
    <t>Q/a</t>
  </si>
  <si>
    <t>m/sec</t>
  </si>
  <si>
    <t xml:space="preserve">However we consider design velocity </t>
  </si>
  <si>
    <t xml:space="preserve">m/sec. </t>
  </si>
  <si>
    <t xml:space="preserve">Afflux flood level </t>
  </si>
  <si>
    <t>Top of deck slab</t>
  </si>
  <si>
    <t>This is well above the Afflux flood level.</t>
  </si>
  <si>
    <t>Though it is not a high level bridge; there shall be no hindrance to traffic during high floods.</t>
  </si>
  <si>
    <t>Hence OK.</t>
  </si>
  <si>
    <t xml:space="preserve">DETERMINATION OF VELOCITY AT PROPOSED SUBMERSIBLE BRIDGE </t>
  </si>
  <si>
    <t>AS PER UP-STREAM SECTION</t>
  </si>
  <si>
    <t>HIGHEST FLOOD LEVEL</t>
  </si>
  <si>
    <t>CHAINAGE</t>
  </si>
  <si>
    <t>G.L.</t>
  </si>
  <si>
    <t>DEPTH OF FLOW IN  M</t>
  </si>
  <si>
    <t>LENGTH OF FLOW</t>
  </si>
  <si>
    <t>AVERAGE DEPTH OF FLOW</t>
  </si>
  <si>
    <t>CROSS SECTIONAL AREA OF FLOW</t>
  </si>
  <si>
    <t>WETTED PERIMETER</t>
  </si>
  <si>
    <t>TOTAL</t>
  </si>
  <si>
    <t>SQM</t>
  </si>
  <si>
    <t>R</t>
  </si>
  <si>
    <t>N</t>
  </si>
  <si>
    <t>S       1 IN</t>
  </si>
  <si>
    <t>M/SEC</t>
  </si>
  <si>
    <t>CUMECS</t>
  </si>
  <si>
    <t>The design engineer visually observed the river to ascertain the Roughness Coefficient n for the Manning's formula. Upon visual inspection of the river in the vicinity of the proposed bridge site it was found that the River bed surface is good with clean straight banks, no rifts or deep pools however containing some weeds and stones. Roughness Coefficient pertaining to these characteristics is 0.033</t>
  </si>
  <si>
    <t>Design Discharge =</t>
  </si>
  <si>
    <t>Critical Levels</t>
  </si>
  <si>
    <t>Road top level (RTL)</t>
  </si>
  <si>
    <t>Average Ground Level(AGL)</t>
  </si>
  <si>
    <t>Average Height Of Bridge</t>
  </si>
  <si>
    <t>Lowest Nala Bed level (NBL)</t>
  </si>
  <si>
    <t>Ordinary flood level (OFL)</t>
  </si>
  <si>
    <t>Foundation level (FL)</t>
  </si>
  <si>
    <t>Ht. of bridge h= (RTL-NBL)</t>
  </si>
  <si>
    <t>Ht. of bridge H=(RTL-FL)</t>
  </si>
  <si>
    <t>** Needs Rational Evaluation w.r.t. afflux.</t>
  </si>
  <si>
    <t>** Average of GL for points lying below HFL.</t>
  </si>
  <si>
    <t xml:space="preserve">ANCHORAGE OF DECK SLAB TO SUBSTRUCTURE </t>
  </si>
  <si>
    <t>In the case of a submersible bridge, the deck slab is near the plane of maximum velocity. To counteract the sliding action due to velocity of flow, loss of weight of slab due to buoyancy, the tilting forces due to eddies and currents and the disturbing forces due to debris or trees floating down the stream ,  it is necessary to anchor the deck slab to the substructure.</t>
  </si>
  <si>
    <t>One possible solution to this anchorage is as shown in detailed drawing. The aim in this anchorage is to secure the deck slab to piers or abutments against uplift or lateral thrust and at the same time allow lateral movement due to expansion and contraction due to temperature effects the arrangement will be evident from the sketch given in the detailed drawing.</t>
  </si>
  <si>
    <t>Check Against Uplift</t>
  </si>
  <si>
    <t>The uplift force shall be maximum when the flow level is Just at near deck level.</t>
  </si>
  <si>
    <t xml:space="preserve">THIS WILL BE IN CASE OF AFFLUX FLOOD LEVEL </t>
  </si>
  <si>
    <t>Total Height</t>
  </si>
  <si>
    <t>Maximum Uplift Pressure</t>
  </si>
  <si>
    <t xml:space="preserve">x </t>
  </si>
  <si>
    <t>kN/Sqm</t>
  </si>
  <si>
    <t>Area of Slab under effect of buoyancy</t>
  </si>
  <si>
    <t>Sqm</t>
  </si>
  <si>
    <t>Uplift Force on Slab</t>
  </si>
  <si>
    <t>kN</t>
  </si>
  <si>
    <t>Self Weight of  Slab</t>
  </si>
  <si>
    <t>Self Weight of Wearing Coat</t>
  </si>
  <si>
    <t>Footpath</t>
  </si>
  <si>
    <t>2X10.8</t>
  </si>
  <si>
    <t>Net Uplift Pressure</t>
  </si>
  <si>
    <t>&lt; 0 Hence Ok.</t>
  </si>
  <si>
    <t>Check Against Sliding</t>
  </si>
  <si>
    <t>Refer Stability Check of Pier</t>
  </si>
  <si>
    <t>WATER CURRENT IN TRANSVERSE DIRECTION ( ACROSS THE BRIDGE)</t>
  </si>
  <si>
    <t>As per IRC- II ( 6-1966) clause 213.5</t>
  </si>
  <si>
    <t>For V=</t>
  </si>
  <si>
    <t>Maximum velocity being 1.414 x mean velocity</t>
  </si>
  <si>
    <t>(1.414= Root of 2)</t>
  </si>
  <si>
    <t>Obstructed Velocity = V Cos 20 0</t>
  </si>
  <si>
    <t>Cos 20 0</t>
  </si>
  <si>
    <t>2v2</t>
  </si>
  <si>
    <t xml:space="preserve">The soffit of the deck is at HFL </t>
  </si>
  <si>
    <t xml:space="preserve">The afflux Flood Level is </t>
  </si>
  <si>
    <t>DRAG FORCE ON DECK SLAB DUE TO AFFLUX</t>
  </si>
  <si>
    <t>Area Obstructed</t>
  </si>
  <si>
    <t>Drag Force on Slab</t>
  </si>
  <si>
    <t>k</t>
  </si>
  <si>
    <t>v2</t>
  </si>
  <si>
    <t>/ 100</t>
  </si>
  <si>
    <t>Dia of Anchor Bars</t>
  </si>
  <si>
    <t>mm</t>
  </si>
  <si>
    <t>Permissible Shear Stress</t>
  </si>
  <si>
    <t>N/mm2</t>
  </si>
  <si>
    <t>Shear Force Resisted by one Anchor Bar =</t>
  </si>
  <si>
    <t>(</t>
  </si>
  <si>
    <t>/4 )x</t>
  </si>
  <si>
    <t>/ 1000</t>
  </si>
  <si>
    <t>Number Of Bars Provided Per slab</t>
  </si>
  <si>
    <t>Nos.</t>
  </si>
  <si>
    <t>Total Shear Resisted</t>
  </si>
  <si>
    <t>FACTOR OF SAFETY</t>
  </si>
  <si>
    <t>&gt; 2.00 Hence OK</t>
  </si>
  <si>
    <t>CROSS SECTION OF RIVER DOWN-STREAM</t>
  </si>
  <si>
    <t>CROSS SECTION OF RIVER AT PROPOSED BRIDGE SITE</t>
  </si>
  <si>
    <t>Chainage in M (u/s or d/s)</t>
  </si>
  <si>
    <t>RL in M</t>
  </si>
  <si>
    <t>DETERMINATION  OF BED SLOPE OF THE RIVER</t>
  </si>
  <si>
    <t>Reference Poits</t>
  </si>
  <si>
    <t>Ch</t>
  </si>
  <si>
    <t>RL</t>
  </si>
  <si>
    <t>DISTANCE</t>
  </si>
  <si>
    <t>FALL</t>
  </si>
  <si>
    <t>SLOPE</t>
  </si>
  <si>
    <t xml:space="preserve">SBC RECOMMENDATION AT 3 M DEPTH IN THE WEATHERED ROCK IS 21.5, 22.45, 21.5 TONNE PER SQUARE METER; </t>
  </si>
  <si>
    <t xml:space="preserve"> HOWEVER ADOPTED SBC IS </t>
  </si>
  <si>
    <t>TONNE PER SQUARE METER</t>
  </si>
  <si>
    <t>OR</t>
  </si>
  <si>
    <t>KN PER SQUARE METER</t>
  </si>
  <si>
    <t>Hard Rock</t>
  </si>
  <si>
    <t>no</t>
  </si>
  <si>
    <t xml:space="preserve">DESIGN OF PIER AND CHECK FOR STABILITY- SUBMERSIBLE BRIDGE </t>
  </si>
  <si>
    <t>DESIGN DATA</t>
  </si>
  <si>
    <t>RIGHT EFFECTIVE SPAN</t>
  </si>
  <si>
    <t>Degree of Skew</t>
  </si>
  <si>
    <t>Degrees</t>
  </si>
  <si>
    <t>SPAN C/C OF PIERS</t>
  </si>
  <si>
    <t>OVERALL WIDTH OF PIER CAP</t>
  </si>
  <si>
    <t>COS Theta</t>
  </si>
  <si>
    <t>H.F.L.</t>
  </si>
  <si>
    <t>BUOYANCY</t>
  </si>
  <si>
    <t>AT FOOTING LEVEL</t>
  </si>
  <si>
    <t>%</t>
  </si>
  <si>
    <t>AT PIER LEVEL</t>
  </si>
  <si>
    <t>AQUEDUCT FALLS UNDER ZONE-II SO SEISMIC CASE IS NOT GOVERNING HERE.</t>
  </si>
  <si>
    <t>FLOOD DISCHARGE</t>
  </si>
  <si>
    <t>RIVER BED SLOPE</t>
  </si>
  <si>
    <t>DESIGN VELOCITY</t>
  </si>
  <si>
    <t>BED LEVEL OF THE HEIGHEST PIER</t>
  </si>
  <si>
    <t xml:space="preserve">SAFE BEARING CAPACITY </t>
  </si>
  <si>
    <t>t/m2</t>
  </si>
  <si>
    <t>kN/m2</t>
  </si>
  <si>
    <t>TOP LEVEL OF FOUNDING ROCK</t>
  </si>
  <si>
    <t>EMBEDMENT OF PIER IN HARD ROCK</t>
  </si>
  <si>
    <t>Weathered Rock</t>
  </si>
  <si>
    <t>FOUNDATION LEVEL OF THE HIGHEST PIER</t>
  </si>
  <si>
    <t>DECK LEVEL OF THE BRIDGE</t>
  </si>
  <si>
    <t>TOP LEVEL OF THE PIER CAP</t>
  </si>
  <si>
    <t>LEVEL DIFFERENCE OF PIER CAP TOP AND FOUNDING LEVEL</t>
  </si>
  <si>
    <t>CHECKING STABILITY OF PIER AT R.L.91.97 M  FOOTING LEVEL</t>
  </si>
  <si>
    <t>DEAD LOAD CALCULATION</t>
  </si>
  <si>
    <t>SUPER STRUCTURE</t>
  </si>
  <si>
    <t>SLAB 775 TO 925 MM</t>
  </si>
  <si>
    <t>SUB STRUCTURE</t>
  </si>
  <si>
    <t>Pier Cap</t>
  </si>
  <si>
    <t>Flared Portion Sides</t>
  </si>
  <si>
    <t>Flared Portion u/s &amp; d/s Sides</t>
  </si>
  <si>
    <t xml:space="preserve">Pier </t>
  </si>
  <si>
    <t>Flared Portion Top</t>
  </si>
  <si>
    <t>Pier Rectangular portion</t>
  </si>
  <si>
    <t>Pier Curved portion</t>
  </si>
  <si>
    <t>Flared Portion U/S &amp; D/S Sides</t>
  </si>
  <si>
    <t>Flared Portion bottom</t>
  </si>
  <si>
    <t>Weight of Pier Above H.F.L.</t>
  </si>
  <si>
    <t>Weight of Pier Below H.F.L.</t>
  </si>
  <si>
    <t>Weight of Sub Structure with 15% Buoyancy</t>
  </si>
  <si>
    <t>+ (</t>
  </si>
  <si>
    <t>Footing</t>
  </si>
  <si>
    <t>SIZE</t>
  </si>
  <si>
    <t>M x</t>
  </si>
  <si>
    <t>Weight without Buoyancy</t>
  </si>
  <si>
    <t>Weight with 100% Buoyancy</t>
  </si>
  <si>
    <t>Total Weight of Substructure Without Buoyancy</t>
  </si>
  <si>
    <t>Total Weight of Substructure With Buoyancy</t>
  </si>
  <si>
    <t>B</t>
  </si>
  <si>
    <t>LIVE LOAD CALCULATION</t>
  </si>
  <si>
    <t>Maximum Reaction due Live Load including Impact</t>
  </si>
  <si>
    <t xml:space="preserve">Refer Live load Computation sheet showing maximum reaction </t>
  </si>
  <si>
    <t>T which is =</t>
  </si>
  <si>
    <t>Haunch</t>
  </si>
  <si>
    <t>PCC Offset</t>
  </si>
  <si>
    <t>TOTAL LONGITUDINAL MOMENT DUE TO LIVE LOAD &amp; BREAKING FORCE</t>
  </si>
  <si>
    <t>Length Variant</t>
  </si>
  <si>
    <t xml:space="preserve">Maximum Longitudinal moment due to Live Load including Impact and Breaking Force </t>
  </si>
  <si>
    <t>kN-m</t>
  </si>
  <si>
    <t>Width Variant</t>
  </si>
  <si>
    <t xml:space="preserve">Refer Live load Computation sheet showing maximum reaction  </t>
  </si>
  <si>
    <t xml:space="preserve">T- m </t>
  </si>
  <si>
    <t>which is =</t>
  </si>
  <si>
    <t>Stress</t>
  </si>
  <si>
    <t>TOTAL TRANSVERSE MOMENT DUE TO LIVE LOAD &amp; BREAKING FORCE</t>
  </si>
  <si>
    <t>Maximum Transverse moment due to Live Load including Impact and Breaking Force</t>
  </si>
  <si>
    <t>C</t>
  </si>
  <si>
    <t>LOADS DUE TO WATER CURRENT</t>
  </si>
  <si>
    <t>WATER CURRENT IN LONGITUDINAL DIRECTION ( ALONG THE BRIDGE)</t>
  </si>
  <si>
    <t>Since the bridge is at Zero Degrees skew from the direction of current as per IRC- II ( 6-1966) clause 213.5 it should be designed for (20+0) =20 Degrees or (20-0) = 20 Degrees whichever gives higher quantum of water current forces.</t>
  </si>
  <si>
    <t>Obstructed Velocity = V Sin 20 0</t>
  </si>
  <si>
    <t>Sin 20 0</t>
  </si>
  <si>
    <t>Obstructed Velocity = V Sin 10 Degrees</t>
  </si>
  <si>
    <t>Sin 10 Degrees</t>
  </si>
  <si>
    <t>Total SUBMERGED Height</t>
  </si>
  <si>
    <t>= (</t>
  </si>
  <si>
    <t>) /2  =</t>
  </si>
  <si>
    <t>DECK LEVEL</t>
  </si>
  <si>
    <t>SOFFIT LEVEL</t>
  </si>
  <si>
    <t>Force on Pier</t>
  </si>
  <si>
    <t>at R.L.</t>
  </si>
  <si>
    <t>Moment @ R. L.</t>
  </si>
  <si>
    <t>M =</t>
  </si>
  <si>
    <t>(Mid-height of deck slab)</t>
  </si>
  <si>
    <t>CAP BOTTOM</t>
  </si>
  <si>
    <t>(Mid-height of pier cap)</t>
  </si>
  <si>
    <t>Footing Top</t>
  </si>
  <si>
    <t>(Mid-height of pier body)</t>
  </si>
  <si>
    <t xml:space="preserve">TOTAL LONGITUDINAL MOMENT DUE TO WATER CURRENT </t>
  </si>
  <si>
    <t xml:space="preserve">Force </t>
  </si>
  <si>
    <t>TOTAL TRANSVERSE MOMENT DUE TO WATER CURRENT</t>
  </si>
  <si>
    <t>D</t>
  </si>
  <si>
    <t>SEISMIC CONDITION</t>
  </si>
  <si>
    <t>According to clause 222.1 of IRC : 6- 1966 the Aqueduct is situated in the standard Zone- II ; therefore the aqueduct need not to be designed for Seismic Forces.</t>
  </si>
  <si>
    <t>E</t>
  </si>
  <si>
    <t>WIND FORCE</t>
  </si>
  <si>
    <t>Slab</t>
  </si>
  <si>
    <t>Area</t>
  </si>
  <si>
    <t>height of C.G. above Bed level</t>
  </si>
  <si>
    <t xml:space="preserve">According to Clause 212.3 IRC -6 -1966 </t>
  </si>
  <si>
    <t>Wind pressure =</t>
  </si>
  <si>
    <t>Kg/Sqm</t>
  </si>
  <si>
    <t>Wind Force</t>
  </si>
  <si>
    <t>Area A1</t>
  </si>
  <si>
    <t>Area A2</t>
  </si>
  <si>
    <t>Y</t>
  </si>
  <si>
    <t xml:space="preserve"> )+ (</t>
  </si>
  <si>
    <t>) /</t>
  </si>
  <si>
    <t>(I)</t>
  </si>
  <si>
    <t>Pier from R.L.</t>
  </si>
  <si>
    <t>to</t>
  </si>
  <si>
    <t xml:space="preserve">Area </t>
  </si>
  <si>
    <t>TOTAL TRANSVERSE MOMENT DUE TO WIND FORCE</t>
  </si>
  <si>
    <t xml:space="preserve">BASE PRESSURE CALCULATION </t>
  </si>
  <si>
    <t>CASE- 1  FOR SERVICE CONDITION AT R. L.91.97 M</t>
  </si>
  <si>
    <t>VERTICAL LOADS</t>
  </si>
  <si>
    <t>Without Buoyancy</t>
  </si>
  <si>
    <t>With Buoyancy</t>
  </si>
  <si>
    <t xml:space="preserve">LIVE LOAD </t>
  </si>
  <si>
    <t>Total Load without Buoyancy</t>
  </si>
  <si>
    <t>Total Load with Buoyancy</t>
  </si>
  <si>
    <t>Total LONGITUDINAL MOMENT</t>
  </si>
  <si>
    <t>Total TRANSVERSE MOMENT</t>
  </si>
  <si>
    <t>C.S.A.</t>
  </si>
  <si>
    <t>m2</t>
  </si>
  <si>
    <t>Ixx</t>
  </si>
  <si>
    <t>1/6x</t>
  </si>
  <si>
    <t xml:space="preserve">2  </t>
  </si>
  <si>
    <t>m3</t>
  </si>
  <si>
    <t>Iyy</t>
  </si>
  <si>
    <t>STRESS with Buoyancy</t>
  </si>
  <si>
    <t>)+ / - (</t>
  </si>
  <si>
    <t>+ / -</t>
  </si>
  <si>
    <t>Pmax</t>
  </si>
  <si>
    <t>&lt; 250 kN/m2 Hence O.K.</t>
  </si>
  <si>
    <t>Pmin</t>
  </si>
  <si>
    <t>&gt; 0 Hence O.K.</t>
  </si>
  <si>
    <t>STRESS without Buoyancy</t>
  </si>
  <si>
    <t>CASE- 2  FOR IDLE CONDITION AT R. L.91.97 M</t>
  </si>
  <si>
    <t>(WHEN THERE IS NO LIVE LOAD)</t>
  </si>
  <si>
    <t>A CHECK OF STABILITY DUE TO BUOYANCY EFFECT</t>
  </si>
  <si>
    <t>CASE- 3 FOR WIND FORCE AT SERVICE CONDITION AT R. L.91.97 M</t>
  </si>
  <si>
    <t>CASE- 4 FOR WIND FORCE AT IDLE CONDITION AT R. L.91.97 M</t>
  </si>
  <si>
    <t>[ NO LIVE LOAD ]</t>
  </si>
  <si>
    <t>P3</t>
  </si>
  <si>
    <t>Stress Diagram</t>
  </si>
  <si>
    <t>P4</t>
  </si>
  <si>
    <t>CASE- 5 FOR ONE SPAN DISLODGED CONDITION AT R. L.91.97 M</t>
  </si>
  <si>
    <t>CASE- 6  FOR SERVICE CONDITION AT R. L.92.97 M</t>
  </si>
  <si>
    <t>&lt; 8000 kN/m2 (that is  8 N/mm2 ) Hence O.K.</t>
  </si>
  <si>
    <t>&gt; (- 3600 kN/m2 (that is  3.6 N/mm2 ) Hence O.K.</t>
  </si>
  <si>
    <t>CASE- 7 FOR IDLE CONDITION AT R. L.92.97 M</t>
  </si>
  <si>
    <t>CASE- 8 FOR WIND FORCE AT SERVICE CONDITION AT R. L.92.97 M</t>
  </si>
  <si>
    <t>CASE- 9 FOR WIND FORCE AT IDLE CONDITION AT R. L.92.97 M</t>
  </si>
  <si>
    <t>ABSTRACT OF BASE PRESSURE AND STRESSES</t>
  </si>
  <si>
    <t>Maximum</t>
  </si>
  <si>
    <t>Minimum</t>
  </si>
  <si>
    <t xml:space="preserve">REINFORCEMENT CALCULATION IN PIER IN LOWER FLARED PORTION </t>
  </si>
  <si>
    <t>R.L.</t>
  </si>
  <si>
    <t>M TO</t>
  </si>
  <si>
    <t>FOR SERVICE CONDITION</t>
  </si>
  <si>
    <t>CONCRETE MIX</t>
  </si>
  <si>
    <t>M-25</t>
  </si>
  <si>
    <t>CHARACTERISTIC STRENGTH OF REINFORCEMENT</t>
  </si>
  <si>
    <t>PERMISSIBLE STRESSES</t>
  </si>
  <si>
    <t>IN STEEL</t>
  </si>
  <si>
    <t>IN CONCRETE</t>
  </si>
  <si>
    <t>CHARACTERISTIC STRENGTH OF Concrete</t>
  </si>
  <si>
    <t>fck</t>
  </si>
  <si>
    <t>Permissible Compressive Stress in Bending</t>
  </si>
  <si>
    <t>σcbc</t>
  </si>
  <si>
    <t>Permissible Compressive Stress in Direct Compression</t>
  </si>
  <si>
    <t>σcc</t>
  </si>
  <si>
    <t>σct</t>
  </si>
  <si>
    <t xml:space="preserve">Ultimate Axial Load PU </t>
  </si>
  <si>
    <t>X</t>
  </si>
  <si>
    <t xml:space="preserve">Ultimate Longitudinal Moment MU </t>
  </si>
  <si>
    <t xml:space="preserve">Ultimate Transverse Moment MU </t>
  </si>
  <si>
    <t>INCREASE WHEN WIND CONDITION IS CONSIDERED</t>
  </si>
  <si>
    <t>Neglecting area of Cut and Ease water parts Rectangular Section considered is</t>
  </si>
  <si>
    <t xml:space="preserve"> mm x</t>
  </si>
  <si>
    <t>Assume cover as</t>
  </si>
  <si>
    <t>d1/d</t>
  </si>
  <si>
    <t>PU/(fck b d)</t>
  </si>
  <si>
    <t>/ (</t>
  </si>
  <si>
    <t>FOR LONGITUDINAL MOMENT</t>
  </si>
  <si>
    <t>Mu/(fck b d2)</t>
  </si>
  <si>
    <t>2 )</t>
  </si>
  <si>
    <t>Refer Chart 31 &amp; 32  of Design Aids for Reinforced concrete SP-16 the point lies below the range of applicability. Hence provide minimum percentage of steel.</t>
  </si>
  <si>
    <t>The point lies below the range of applicability. Hence provide minimum percentage of steel</t>
  </si>
  <si>
    <t>CRITERIA 1 FOR MINIMUM STEEL Pt = 0.8 % OF CROSS SECTION AREA OF COLUMN REQUIRED FOR COMPRESSION</t>
  </si>
  <si>
    <t>Area Required due to Compression =</t>
  </si>
  <si>
    <t>mm2</t>
  </si>
  <si>
    <t>Area of steel @ 0.8% =</t>
  </si>
  <si>
    <t xml:space="preserve">CRITERIA 2 FOR MINIMUM STEEL Pt = 0.3 % OF GROSS SECTION AREA OF COLUMN </t>
  </si>
  <si>
    <t>Area of steel @ 0.3% =</t>
  </si>
  <si>
    <t>PROVIDE STEEL AREA</t>
  </si>
  <si>
    <t xml:space="preserve">NO. OF </t>
  </si>
  <si>
    <t>MM BARS</t>
  </si>
  <si>
    <t>SPACING</t>
  </si>
  <si>
    <t>MM</t>
  </si>
  <si>
    <t>FOR TRANSVERSE MOMENT</t>
  </si>
  <si>
    <t>TRANSVERSE REINFORCEMENT</t>
  </si>
  <si>
    <t>Shear Force to be resisted by the pier In Accordance to IS 1893</t>
  </si>
  <si>
    <t xml:space="preserve">Check for Shear </t>
  </si>
  <si>
    <t>Nominal Shear Stress =</t>
  </si>
  <si>
    <t>Pt</t>
  </si>
  <si>
    <t>Permissible Shear Stress =</t>
  </si>
  <si>
    <t>Refer table 61</t>
  </si>
  <si>
    <t>Nominal Shear Reinforcement will suffice</t>
  </si>
  <si>
    <t>According to IRC 21-1987 Clause 306.3</t>
  </si>
  <si>
    <t>Dia of Transverse Reinforcement</t>
  </si>
  <si>
    <t>Provide</t>
  </si>
  <si>
    <t>mm dia rings</t>
  </si>
  <si>
    <t>Pitch of the Transverse should be least of</t>
  </si>
  <si>
    <t>a) Least lateral Dimension =</t>
  </si>
  <si>
    <t>b) 12 d =</t>
  </si>
  <si>
    <t>c) 300 mm =</t>
  </si>
  <si>
    <t>d) As per IS IS 13920:1993 Cl. 7.4.6</t>
  </si>
  <si>
    <t>&lt; or =</t>
  </si>
  <si>
    <t>mm dia rings @</t>
  </si>
  <si>
    <t>mm c/c.</t>
  </si>
  <si>
    <t>This spacing is in accordance to IS 13920:1993 Cl. 7.4.6</t>
  </si>
  <si>
    <t>CODE OF PRACTICE FOR DUCTILE DETAILING OF REINFORCED CONCRETE STRUCTURES SUBJECTED TO SEISMIC FORCES</t>
  </si>
  <si>
    <t>Check for Size of Hoop Reinforcement</t>
  </si>
  <si>
    <t>Refer IS 13920:1993 Cl. 7.4.8</t>
  </si>
  <si>
    <t>Ash= 0.18 Sh (Fck/Fy)x(Ag/Ak-1)</t>
  </si>
  <si>
    <t>(Spacing of long. bars+ effective cover) or 300 mm whichever is less</t>
  </si>
  <si>
    <t>Fck</t>
  </si>
  <si>
    <t>Cover 75 mm to main reinforcement</t>
  </si>
  <si>
    <t>Fy</t>
  </si>
  <si>
    <t>Ag</t>
  </si>
  <si>
    <t>Considering 1 mm Wide Pier</t>
  </si>
  <si>
    <t>Ak</t>
  </si>
  <si>
    <t xml:space="preserve">Considering 1 mm Wide Pier Effective </t>
  </si>
  <si>
    <t>Hence Ash</t>
  </si>
  <si>
    <t>Ash ProvideD</t>
  </si>
  <si>
    <t>Which is OK</t>
  </si>
  <si>
    <t>CODE OF PRACTICE FORDUCTILE DETAILING OF REINFORCED CONCRETE STRUCTURES SUBJECTED TO SEISMIC FORCES</t>
  </si>
  <si>
    <t>ABSTRACT</t>
  </si>
  <si>
    <t>LONGITUDINAL REINFORCEMENT</t>
  </si>
  <si>
    <t>However Adopt spacing as 250 mm</t>
  </si>
  <si>
    <t xml:space="preserve">   12mm dia rings @100mm c/c.</t>
  </si>
  <si>
    <t xml:space="preserve">REINFORCEMENT CALCULATION IN PIER </t>
  </si>
  <si>
    <t xml:space="preserve">DESIGN OF PIER FOOTING SUBMERSIBLE BRIDGE  </t>
  </si>
  <si>
    <t>FOR WIND AT SERVICE CONDITION</t>
  </si>
  <si>
    <t xml:space="preserve">Length of footing </t>
  </si>
  <si>
    <t>lf</t>
  </si>
  <si>
    <t>Width of Footing</t>
  </si>
  <si>
    <t>lb</t>
  </si>
  <si>
    <t>Width of Pier</t>
  </si>
  <si>
    <t>Vertical Load</t>
  </si>
  <si>
    <t>Longitudinal Moment</t>
  </si>
  <si>
    <t>Me</t>
  </si>
  <si>
    <t>Transverse Moment</t>
  </si>
  <si>
    <t>Mb</t>
  </si>
  <si>
    <t>el</t>
  </si>
  <si>
    <t>= Me/P</t>
  </si>
  <si>
    <t>eb</t>
  </si>
  <si>
    <t>= Mb/P</t>
  </si>
  <si>
    <t>el/lf</t>
  </si>
  <si>
    <t>Refer VK Raina "Concrete Bridge Practice : Analysis, Design and Economics " Chapter 14 "Evaluation of Base Presssure and Contact Area" Fig 14.2 &amp; 14.3</t>
  </si>
  <si>
    <t>eb/lb</t>
  </si>
  <si>
    <t>K</t>
  </si>
  <si>
    <t>y</t>
  </si>
  <si>
    <t>Area in Tension = y x lb</t>
  </si>
  <si>
    <t>Maximum Pressure before Redistribution</t>
  </si>
  <si>
    <t>Maximum Pressure After Redistribution = pxK</t>
  </si>
  <si>
    <t>Maximum Stress at Edge of Pier</t>
  </si>
  <si>
    <t>Distance From Face of Pier to the Edge</t>
  </si>
  <si>
    <t>Stress at the Edge of Pier</t>
  </si>
  <si>
    <t>Average Stress on Cantilevered Area</t>
  </si>
  <si>
    <t>Area of the Cantilever Portion</t>
  </si>
  <si>
    <t>Distance of Centroid of the Stress in Cantilever Portion</t>
  </si>
  <si>
    <t>Moment about the Face of Pier</t>
  </si>
  <si>
    <t>CONCRETE GRADE</t>
  </si>
  <si>
    <t>FOR THIS GRADE scbc</t>
  </si>
  <si>
    <t>sst</t>
  </si>
  <si>
    <t>factor k</t>
  </si>
  <si>
    <t>j</t>
  </si>
  <si>
    <t>Effective Depth Required</t>
  </si>
  <si>
    <t xml:space="preserve">Adopt Total Depth </t>
  </si>
  <si>
    <t>Cover</t>
  </si>
  <si>
    <t>Assume Bar Dia</t>
  </si>
  <si>
    <t>Keeping A Cover Of 50 mm Effective Depth</t>
  </si>
  <si>
    <t>Adopt Effective Depth</t>
  </si>
  <si>
    <t>Steel Required  Ast</t>
  </si>
  <si>
    <t>Area Of One Bar</t>
  </si>
  <si>
    <t>Spacing S</t>
  </si>
  <si>
    <t>Provide  Bars Of Dia And Spacing</t>
  </si>
  <si>
    <t>Adopt spacing as 250 mm</t>
  </si>
  <si>
    <t>Area Of Distribution Steel</t>
  </si>
  <si>
    <t xml:space="preserve">Dia Of Bar For Distribution Steel </t>
  </si>
  <si>
    <t>Area Of One Bar In Distribution Reinforcement</t>
  </si>
  <si>
    <t>Using The Bars Spacing Required</t>
  </si>
  <si>
    <t>Provide  Bars Of Dia And Spacing for Top Main Steel</t>
  </si>
  <si>
    <t>Provide  Bars Of Dia And Spacing for Top Distribution Steel</t>
  </si>
  <si>
    <t>CHECK FOR SHEAR</t>
  </si>
  <si>
    <t>(As per IRC 21-1987 Cl. 304.7)</t>
  </si>
  <si>
    <t>Critical Section is at a distance equal to effective depth from pier face</t>
  </si>
  <si>
    <t>Section of Shear from end of pier</t>
  </si>
  <si>
    <t>Stress at the Section for Shear Check</t>
  </si>
  <si>
    <t>Shear Force</t>
  </si>
  <si>
    <t>V=V' + M/d tanB</t>
  </si>
  <si>
    <t>(B=0) Hence V =V'</t>
  </si>
  <si>
    <t>Actual Shear Stress</t>
  </si>
  <si>
    <t>Percentage Steel</t>
  </si>
  <si>
    <t>100As/bd</t>
  </si>
  <si>
    <t>Tc</t>
  </si>
  <si>
    <t>k=1</t>
  </si>
  <si>
    <t>Permissble Shear Stress = k Tc</t>
  </si>
  <si>
    <t>&lt; Actual Shear Stress hence Shear Reinforcement should be provided</t>
  </si>
  <si>
    <t>Dia Of two Legged Stirrups</t>
  </si>
  <si>
    <t>Using The Bars Spacing Required s= Asw ts d/V</t>
  </si>
  <si>
    <t>STRESS DIAGRAM</t>
  </si>
  <si>
    <t xml:space="preserve">DESIGN OF PIER FOOTING </t>
  </si>
  <si>
    <t>LIVE LOAD CALCULATION :-</t>
  </si>
  <si>
    <t>[1] CLASS  AA TRACKED VEHICLE :-</t>
  </si>
  <si>
    <t>(a) Dispersion width along the span</t>
  </si>
  <si>
    <t xml:space="preserve"> According to clause 305.13   IRC- 21-2000</t>
  </si>
  <si>
    <t xml:space="preserve"> = Length of Contact   +   2 (Wearing coat + depth of Slab)</t>
  </si>
  <si>
    <t xml:space="preserve"> =</t>
  </si>
  <si>
    <t xml:space="preserve"> + 2 ( 0.075 + 0.775 )</t>
  </si>
  <si>
    <t>(b) Dispersion width across the span</t>
  </si>
  <si>
    <t xml:space="preserve"> be  =  K  x       ( 1  - x/Le )   +bw</t>
  </si>
  <si>
    <t>K  =  A Constant having the value depending upon the ratio</t>
  </si>
  <si>
    <t>(L1/Le  where.</t>
  </si>
  <si>
    <t>be = the effective width of the slab on which the load acts.</t>
  </si>
  <si>
    <t>Le  = Effective  Span</t>
  </si>
  <si>
    <t>x   = the distance of c.g. of concentrate load from the near support</t>
  </si>
  <si>
    <t>bw    =   The breadth of concentration area of the load i.e. Dimension of</t>
  </si>
  <si>
    <t xml:space="preserve">              the tyre or track contact area over the road surface </t>
  </si>
  <si>
    <t>Heve ,</t>
  </si>
  <si>
    <t>Le  =  10.00 M     &amp;  L1   = 7.00 M</t>
  </si>
  <si>
    <t xml:space="preserve">  =  L1</t>
  </si>
  <si>
    <t xml:space="preserve">      Le</t>
  </si>
  <si>
    <t>Value  of    K   =</t>
  </si>
  <si>
    <t>bw   =</t>
  </si>
  <si>
    <t>0.85 + 2 x 0.075</t>
  </si>
  <si>
    <t xml:space="preserve"> = 1.0 M</t>
  </si>
  <si>
    <t xml:space="preserve"> X    =    L</t>
  </si>
  <si>
    <t>5.0 M</t>
  </si>
  <si>
    <t xml:space="preserve"> be =     2.4 x 4</t>
  </si>
  <si>
    <t>( 1 - 5/10)</t>
  </si>
  <si>
    <t xml:space="preserve">          =</t>
  </si>
  <si>
    <t>Impact factor is  13.75%   as pere IRC Section-II, Clause - 211-3 (a) (i)</t>
  </si>
  <si>
    <t>DISPERSION ACROSS SPAN (CLASS AA TRACKED VEHICAL)</t>
  </si>
  <si>
    <t>The tracked vehicle is placed at a distance of minimum clearence of 1-2 m from Kerb</t>
  </si>
  <si>
    <t xml:space="preserve"> Dispersion across span </t>
  </si>
  <si>
    <t xml:space="preserve"> = C/C distance between wheels </t>
  </si>
  <si>
    <t xml:space="preserve">    + width from centre of wheel on clearence side</t>
  </si>
  <si>
    <t xml:space="preserve">    + Least on other side or halp the dispersion of one wheel.</t>
  </si>
  <si>
    <t xml:space="preserve"> = 2.05 + 1.93  + Least of 2.715 OR  5.8/2</t>
  </si>
  <si>
    <t xml:space="preserve"> = 2.05 + 1.93  + 2.715</t>
  </si>
  <si>
    <t xml:space="preserve"> = 6.695</t>
  </si>
  <si>
    <t xml:space="preserve">Impact factor = 1.1375 </t>
  </si>
  <si>
    <t xml:space="preserve"> Total load with impact</t>
  </si>
  <si>
    <t>= 70   x    1.1375</t>
  </si>
  <si>
    <t xml:space="preserve"> =     79.63 T</t>
  </si>
  <si>
    <t xml:space="preserve"> = Intensity of Load</t>
  </si>
  <si>
    <t>T/M</t>
  </si>
  <si>
    <t>5.30 x 6.695</t>
  </si>
  <si>
    <t>Maximum Reaction</t>
  </si>
  <si>
    <t>For Maximum reaction at support the Centre of gravity of the loads should be adjacent to one support should be adjacent to one support</t>
  </si>
  <si>
    <t>Reaction RA= 2.24x 3.00 x 1.50 /10.00</t>
  </si>
  <si>
    <t>T</t>
  </si>
  <si>
    <t>Reaction RB= 2.24x 3.00 -1.01</t>
  </si>
  <si>
    <t>DISPERSION ALONG SPAN (CLASS AA TRACKED VEHICLE)</t>
  </si>
  <si>
    <t>(a) Dispersion width along the span :-</t>
  </si>
  <si>
    <t xml:space="preserve">  tp  =</t>
  </si>
  <si>
    <t>tc   =  2  (tw + ts )</t>
  </si>
  <si>
    <t xml:space="preserve">  tp  =  </t>
  </si>
  <si>
    <t xml:space="preserve">width of dispersion parallel to span </t>
  </si>
  <si>
    <t xml:space="preserve">  tc  = </t>
  </si>
  <si>
    <t>width of tyre contact area parallel to span</t>
  </si>
  <si>
    <t xml:space="preserve">  ts  =</t>
  </si>
  <si>
    <t>Overall depth of slab</t>
  </si>
  <si>
    <t xml:space="preserve"> tw  =</t>
  </si>
  <si>
    <t>Thickness</t>
  </si>
  <si>
    <t>of Wearing coat</t>
  </si>
  <si>
    <t>Dispersion along the span</t>
  </si>
  <si>
    <t xml:space="preserve"> = 0.15  +  2 ( 0.075 + 0.775 )</t>
  </si>
  <si>
    <t xml:space="preserve"> Dispersion between two wheel is overlapping hence restricted to 1-2 M</t>
  </si>
  <si>
    <t xml:space="preserve"> = Dispersion combined for two wheels </t>
  </si>
  <si>
    <t xml:space="preserve"> = C/c distance between  +   </t>
  </si>
  <si>
    <t>Longitudinal</t>
  </si>
  <si>
    <t xml:space="preserve">    two wheels</t>
  </si>
  <si>
    <t>dispersion</t>
  </si>
  <si>
    <t xml:space="preserve">  = 1-2</t>
  </si>
  <si>
    <t xml:space="preserve"> =  3.1 M</t>
  </si>
  <si>
    <t>( along the span )</t>
  </si>
  <si>
    <t>1.90 x 5.30</t>
  </si>
  <si>
    <t>Reaction RA= 7.91x 3.00 x 1.50 /10.00</t>
  </si>
  <si>
    <t>Reaction RB= 7.91x 3.00 -3.56</t>
  </si>
  <si>
    <t>DESIGN OF PIER CAP :-</t>
  </si>
  <si>
    <t>D.L./ M Width  along bridge</t>
  </si>
  <si>
    <t xml:space="preserve">DL.  Of Slab = </t>
  </si>
  <si>
    <t>x.</t>
  </si>
  <si>
    <t xml:space="preserve">D.L. of Wearing coat = </t>
  </si>
  <si>
    <t xml:space="preserve">  D.L. of Slab &amp; Wearing coat on half of the pier </t>
  </si>
  <si>
    <t xml:space="preserve">   L.L. on Pier cap including impact along bridge </t>
  </si>
  <si>
    <t xml:space="preserve">     =</t>
  </si>
  <si>
    <t xml:space="preserve">   (Refer   Live Load Computation)</t>
  </si>
  <si>
    <t xml:space="preserve">    Dispersion width across the span for</t>
  </si>
  <si>
    <t xml:space="preserve">    70 T TRACKED VEHTCLE </t>
  </si>
  <si>
    <t xml:space="preserve">    =</t>
  </si>
  <si>
    <t xml:space="preserve">   ( Refer Solid slab  design    page SS-16) </t>
  </si>
  <si>
    <t xml:space="preserve">    Live Load u.d.l. on Pier    </t>
  </si>
  <si>
    <t>Per M width</t>
  </si>
  <si>
    <t xml:space="preserve">    Total Load on Half    =</t>
  </si>
  <si>
    <t xml:space="preserve">    of pier along bridge </t>
  </si>
  <si>
    <t xml:space="preserve">   Per M width</t>
  </si>
  <si>
    <t>Effective depth of slab =90-2.5-2.5/2 =</t>
  </si>
  <si>
    <t>cm</t>
  </si>
  <si>
    <t>Placement of the live load at effective depth from the support ( taking support width 750 mm)</t>
  </si>
  <si>
    <t>Eccentricity = 71.25 -75/2</t>
  </si>
  <si>
    <t xml:space="preserve">     Bending Moment along the bridge  =</t>
  </si>
  <si>
    <t>T - M/M width</t>
  </si>
  <si>
    <t>kN-M/M width</t>
  </si>
  <si>
    <t xml:space="preserve">    This moment is too small hence it will not/be the governing  B.M.</t>
  </si>
  <si>
    <t>Moment in pier cap</t>
  </si>
  <si>
    <t>M30</t>
  </si>
  <si>
    <t>Adopt spacing as 100 mm</t>
  </si>
  <si>
    <t>Provide  Bars Of Dia And Spacing for Bottom Steel</t>
  </si>
  <si>
    <t>PIER SECTION ACROSS BRIDGE</t>
  </si>
  <si>
    <t>DEAD LOAD MOMENT PER METRE Width  across bridge :-</t>
  </si>
  <si>
    <t>Slab   D.L.</t>
  </si>
  <si>
    <t xml:space="preserve">D.L. of Slab &amp; Wearing coat on half of the pier </t>
  </si>
  <si>
    <t>T/ M width</t>
  </si>
  <si>
    <t xml:space="preserve">L.L on pier </t>
  </si>
  <si>
    <t xml:space="preserve">  = </t>
  </si>
  <si>
    <t xml:space="preserve">Dispersion width along the span for </t>
  </si>
  <si>
    <t>70 T Tracked vehical</t>
  </si>
  <si>
    <t xml:space="preserve"> L.L. . per M  width on pier   =      </t>
  </si>
  <si>
    <t>Total D.L. + L.L. on half of  Pier across</t>
  </si>
  <si>
    <t>bridge per M width</t>
  </si>
  <si>
    <t>The Live Load is with clearance from the Footpath and kerb. The cantilever portion of pier cap and width of footpath is 1500 mm</t>
  </si>
  <si>
    <t>Hence There is no eccentricity.</t>
  </si>
  <si>
    <t xml:space="preserve">     Bending Moment across the bridge  =</t>
  </si>
  <si>
    <t>Provide Minimum  steel</t>
  </si>
  <si>
    <t>Minimum Reinforcement calculation for Pier cap :-</t>
  </si>
  <si>
    <t xml:space="preserve"> As per clause 710.8.2, IRC- 78 - 2000, the thickness of pier</t>
  </si>
  <si>
    <t xml:space="preserve"> cap shall be at least 200 mm  However the thickness </t>
  </si>
  <si>
    <t xml:space="preserve"> of Pier cap here is 1200 MM.</t>
  </si>
  <si>
    <t xml:space="preserve"> Grade of Concrete  M 30</t>
  </si>
  <si>
    <t>Minimum Shrinkage and Temperature reinforcement required as per Clause 305.10 IRC 21-2000</t>
  </si>
  <si>
    <t>in any RC structure is 250 Sq mm per m in each direction. Allowable maximum spacing is 300 mm.</t>
  </si>
  <si>
    <t>Shrinkage and Temperature reinforcement required =</t>
  </si>
  <si>
    <t>Provide 25 mm tor reiforcement @ 100 mm c/c ( 14 Nos.) in top along the pier cap</t>
  </si>
  <si>
    <t>Provide 16 mm tor reiforcement @ 100 mm c/c ( 14 Nos.) in bottom along the pier cap</t>
  </si>
  <si>
    <t>Area of Steel Provided at top</t>
  </si>
  <si>
    <t>= (14x 491)</t>
  </si>
  <si>
    <t xml:space="preserve"> &gt; 300 mm2 </t>
  </si>
  <si>
    <t>OK</t>
  </si>
  <si>
    <t>Area of Steel Provided at bottom</t>
  </si>
  <si>
    <t>= (14x 201)</t>
  </si>
  <si>
    <t>CHECK FOR SHEAR ALONG BRIDGE DIRECTION</t>
  </si>
  <si>
    <t xml:space="preserve">V =  </t>
  </si>
  <si>
    <t>HOWEVER</t>
  </si>
  <si>
    <t xml:space="preserve">Provide 16 mm tor 2 legged vertical stirrups @ 100 mm centre to centre along the pier cap </t>
  </si>
  <si>
    <t>Provide 16 mm tor 2 legged horizontal stirrups @ 100 mm centre to centre along the pier cap</t>
  </si>
  <si>
    <t xml:space="preserve"> SHEAR CHECK ACROSS BRIDGE  DIRECTION </t>
  </si>
  <si>
    <t>&gt; Actual Shear Stress hence No Shear Reinforcement is required.</t>
  </si>
  <si>
    <t xml:space="preserve">CALCULATION OF LIVE LOAD REACTION  FOR PIER SUBSTRUCTURE </t>
  </si>
  <si>
    <t>FOR SIMPLY SUPPORTED SPANS OF A TWO LANE BRIDGE STRUCTURE</t>
  </si>
  <si>
    <t>Centre line of pier w.r.t. the bearings :-</t>
  </si>
  <si>
    <t>Rb</t>
  </si>
  <si>
    <t>Rc</t>
  </si>
  <si>
    <t>Reaction has been calculated for the following cases</t>
  </si>
  <si>
    <t>1.</t>
  </si>
  <si>
    <t>One lane of class 70-R(W)</t>
  </si>
  <si>
    <t>2.</t>
  </si>
  <si>
    <t>One lane of class - A</t>
  </si>
  <si>
    <t>3.</t>
  </si>
  <si>
    <t>Two lane of class - A</t>
  </si>
  <si>
    <t>4.</t>
  </si>
  <si>
    <t>Three lane of class - A</t>
  </si>
  <si>
    <t>5.</t>
  </si>
  <si>
    <t>One lane of class 70-R(W) + One lane of class - A</t>
  </si>
  <si>
    <t>Condition A:</t>
  </si>
  <si>
    <t>MAXIMUM LONGITUDINAL MOMENT CASE</t>
  </si>
  <si>
    <t>Case 1:</t>
  </si>
  <si>
    <t>Cg of</t>
  </si>
  <si>
    <t xml:space="preserve">    </t>
  </si>
  <si>
    <t xml:space="preserve">Rb </t>
  </si>
  <si>
    <t>Ra</t>
  </si>
  <si>
    <t>Rd</t>
  </si>
  <si>
    <t>span</t>
  </si>
  <si>
    <t>load</t>
  </si>
  <si>
    <t>cg</t>
  </si>
  <si>
    <t xml:space="preserve">Rb =  </t>
  </si>
  <si>
    <t>80*(8.35-3.65+0.3)/8.35</t>
  </si>
  <si>
    <t>t</t>
  </si>
  <si>
    <t xml:space="preserve">Rc =  </t>
  </si>
  <si>
    <t>Ra=</t>
  </si>
  <si>
    <t>Vert.Reaction=</t>
  </si>
  <si>
    <t>60.4 + 0</t>
  </si>
  <si>
    <t>Braking Force, B =</t>
  </si>
  <si>
    <t>0.2*80</t>
  </si>
  <si>
    <t>Dead load reaction on the pier , Rg</t>
  </si>
  <si>
    <t>Value of " m " =</t>
  </si>
  <si>
    <t>Horizontal force due to temperature, T = m*(Rg+Ra)</t>
  </si>
  <si>
    <t>Design horizontal force is higher of either ( B/2+T ) or ( B-T )</t>
  </si>
  <si>
    <t>( neglecting shear rating of elastomeric bearing in the adjacent span, which is on the conservative side )</t>
  </si>
  <si>
    <t>CL of 70-R</t>
  </si>
  <si>
    <t>CL of c/w</t>
  </si>
  <si>
    <t xml:space="preserve">Transverse eccentricity </t>
  </si>
  <si>
    <t>Transverse moment =</t>
  </si>
  <si>
    <t>2.905*(60.4 + 0)</t>
  </si>
  <si>
    <t>t.m</t>
  </si>
  <si>
    <t>Long. moment =</t>
  </si>
  <si>
    <t>60.4*0.3-0*0.3</t>
  </si>
  <si>
    <t>Long. Eccentricity ( for input)</t>
  </si>
  <si>
    <t>B)</t>
  </si>
  <si>
    <t>One lane of class-A</t>
  </si>
  <si>
    <t>SPAN</t>
  </si>
  <si>
    <t>LOAD</t>
  </si>
  <si>
    <t>CG</t>
  </si>
  <si>
    <t>0*(8.35-0.3)/8.35</t>
  </si>
  <si>
    <t>55.4*(8.35-9.7+0.3/2)/8.35</t>
  </si>
  <si>
    <t>Vert.Reaction =</t>
  </si>
  <si>
    <t>48.4 + 7</t>
  </si>
  <si>
    <t>0.2*(0+55.4)</t>
  </si>
  <si>
    <t xml:space="preserve">CL class A(1L) </t>
  </si>
  <si>
    <t>2.9*55.4</t>
  </si>
  <si>
    <t>7*0.3-0*0.3</t>
  </si>
  <si>
    <t>Case 3 :</t>
  </si>
  <si>
    <t>Two lane of class-A</t>
  </si>
  <si>
    <t>2*0</t>
  </si>
  <si>
    <t>2*7</t>
  </si>
  <si>
    <t>0 + 13.9</t>
  </si>
  <si>
    <t>Braking Force(For single lane only)</t>
  </si>
  <si>
    <t xml:space="preserve">CL class A(2L) </t>
  </si>
  <si>
    <t>1.15*13.9</t>
  </si>
  <si>
    <t>13.9*0.3-0*0.3</t>
  </si>
  <si>
    <t>Case 4 :</t>
  </si>
  <si>
    <t>Three lane of class-A</t>
  </si>
  <si>
    <t>90% of 3*0</t>
  </si>
  <si>
    <t>90% of 3*7</t>
  </si>
  <si>
    <t>0 + 18.8</t>
  </si>
  <si>
    <t>(0.2)*55.4+0.05*55.4</t>
  </si>
  <si>
    <t>(5% extra taken for third lane)</t>
  </si>
  <si>
    <t xml:space="preserve">CL class A(3L) </t>
  </si>
  <si>
    <t>0.7*18.8</t>
  </si>
  <si>
    <t>18.8*0.3-0*0.3</t>
  </si>
  <si>
    <t>Case 5 :</t>
  </si>
  <si>
    <t>One lane of class-70R(W)+One lane of class-A</t>
  </si>
  <si>
    <t>90% of(0+0)</t>
  </si>
  <si>
    <t>90% of(6.97+60.36)</t>
  </si>
  <si>
    <t>Braking Force =</t>
  </si>
  <si>
    <t>16 + 5% of 55.4</t>
  </si>
  <si>
    <t>(5% extra taken for class A)</t>
  </si>
  <si>
    <t xml:space="preserve">CL class 70-R </t>
  </si>
  <si>
    <t>CL class A(1L)</t>
  </si>
  <si>
    <t xml:space="preserve">Transverse ecc.(class 70 R) </t>
  </si>
  <si>
    <t xml:space="preserve">Transverse ecc.(class A) </t>
  </si>
  <si>
    <t>Trans. moment =</t>
  </si>
  <si>
    <t>0.9*(60.4*2.905-55.4*-0.84)</t>
  </si>
  <si>
    <t>Net transverse ecc. (for input)</t>
  </si>
  <si>
    <t>60.6*0.3-0*0.3</t>
  </si>
  <si>
    <t>Condition B:</t>
  </si>
  <si>
    <t>MAXIMUM TRANSVERSE MOMENT / REACTION CASE</t>
  </si>
  <si>
    <t>CASE 1:</t>
  </si>
  <si>
    <t>ONE LANE OF CLASS 70-R(W)</t>
  </si>
  <si>
    <t>first span</t>
  </si>
  <si>
    <t>second span</t>
  </si>
  <si>
    <t>49*(8.35 - 3.33 + 0.3)/8.35</t>
  </si>
  <si>
    <t>51*(8.35-3.19+1.6)/8.35</t>
  </si>
  <si>
    <t>Vert. Reaction =</t>
  </si>
  <si>
    <t>31.2 + 21.7</t>
  </si>
  <si>
    <t>0.2*100</t>
  </si>
  <si>
    <t>2.905*(31.2 + 21.7)</t>
  </si>
  <si>
    <t>31.22*0.3-21.74*0.3</t>
  </si>
  <si>
    <t>Case 2:</t>
  </si>
  <si>
    <t xml:space="preserve">Cg of </t>
  </si>
  <si>
    <t>two span length</t>
  </si>
  <si>
    <t>cg6.8 end</t>
  </si>
  <si>
    <t>cg2.7 end</t>
  </si>
  <si>
    <t>20.4*(8.35-4.65+0.3)/8.35</t>
  </si>
  <si>
    <t>50*(8.35-1.64+0.3)/8.35</t>
  </si>
  <si>
    <t>9.77 + 24.85</t>
  </si>
  <si>
    <t>Span2load</t>
  </si>
  <si>
    <t>cg 6.8</t>
  </si>
  <si>
    <t xml:space="preserve"> load</t>
  </si>
  <si>
    <t>Span2 load</t>
  </si>
  <si>
    <t>0.2*(50)</t>
  </si>
  <si>
    <t>span2</t>
  </si>
  <si>
    <t>11.0 m</t>
  </si>
  <si>
    <t>load 1</t>
  </si>
  <si>
    <t>Cg 2.7 end</t>
  </si>
  <si>
    <t>4.2*34.6</t>
  </si>
  <si>
    <t>24.8*0.3-9.8*0.3</t>
  </si>
  <si>
    <t>2*9.8</t>
  </si>
  <si>
    <t>2*24.8</t>
  </si>
  <si>
    <t>19.5 + 49.7</t>
  </si>
  <si>
    <t>1.15*69.2</t>
  </si>
  <si>
    <t>49.7*0.3-19.5*0.3</t>
  </si>
  <si>
    <t>90% of 3*9.8</t>
  </si>
  <si>
    <t>90% of 3*24.8</t>
  </si>
  <si>
    <t>26.4 + 67.1</t>
  </si>
  <si>
    <t>Dead load reaction on the pier end , Rg</t>
  </si>
  <si>
    <t>0.7*93.5</t>
  </si>
  <si>
    <t>67.1*0.3-26.4*0.3</t>
  </si>
  <si>
    <t>90% of(9.77+21.74)</t>
  </si>
  <si>
    <t>90% of(24.85+31.22)</t>
  </si>
  <si>
    <t>0.9*(60.4*2.9-0*-0.8)</t>
  </si>
  <si>
    <t>50.5*0.3-28.4*0.3</t>
  </si>
  <si>
    <t>Summary of Loads</t>
  </si>
  <si>
    <t xml:space="preserve">Max. Longitudinal Moment </t>
  </si>
  <si>
    <t>Design horizontal force (t)</t>
  </si>
  <si>
    <t>Transverse ecc. (m)</t>
  </si>
  <si>
    <t>Longitudinal ecc. (m)</t>
  </si>
  <si>
    <t>Max. vertical reaction (t)</t>
  </si>
  <si>
    <t>Transverse moment (t.m)</t>
  </si>
  <si>
    <t>Longitudinal moment (t.m)</t>
  </si>
  <si>
    <t xml:space="preserve">Max.Transverse Moment </t>
  </si>
  <si>
    <t>Load case</t>
  </si>
  <si>
    <t>1L class 70 - R</t>
  </si>
  <si>
    <t>1L class - A</t>
  </si>
  <si>
    <t>2L class - A</t>
  </si>
  <si>
    <t>3L class - A</t>
  </si>
  <si>
    <t>1L class 70 - R +      1L class - A</t>
  </si>
  <si>
    <t>Vertical reaction due to braking has been neglected.</t>
  </si>
  <si>
    <t>MT</t>
  </si>
  <si>
    <t>KN</t>
  </si>
  <si>
    <t>T-M</t>
  </si>
  <si>
    <t>KNM</t>
  </si>
  <si>
    <t xml:space="preserve">Maximum Transverse moment due to Live Load including Impact and Breaking Force </t>
  </si>
  <si>
    <t>Deck Level</t>
  </si>
  <si>
    <t>Foundation Level</t>
  </si>
  <si>
    <t>Thickness of Deck Slab</t>
  </si>
  <si>
    <t>Thickness of Approach Slab</t>
  </si>
  <si>
    <t>Height below Approach Slab</t>
  </si>
  <si>
    <t>Length of Heel projection</t>
  </si>
  <si>
    <t>Offset</t>
  </si>
  <si>
    <t>Length of Toe projection</t>
  </si>
  <si>
    <t>Width of Stem</t>
  </si>
  <si>
    <t>Thickness of Abutment Cap</t>
  </si>
  <si>
    <t>Thickness of Dirt Wall</t>
  </si>
  <si>
    <t>Depth of Footing</t>
  </si>
  <si>
    <t xml:space="preserve">RL </t>
  </si>
  <si>
    <t>APPROACH SLAB</t>
  </si>
  <si>
    <t>DIRT WALL</t>
  </si>
  <si>
    <t>DECK SLAB</t>
  </si>
  <si>
    <t>PIER CAP</t>
  </si>
  <si>
    <t>HEEL</t>
  </si>
  <si>
    <t>TOE</t>
  </si>
  <si>
    <t>TYPICAL SECTION OF THE ABUTMENT  TYPABUT-01</t>
  </si>
  <si>
    <t>Design of ABUTMENT</t>
  </si>
  <si>
    <t>(a) Data</t>
  </si>
  <si>
    <t>Preliminary dimensions</t>
  </si>
  <si>
    <t>: Assumed as in Fig. TYPABUT-01</t>
  </si>
  <si>
    <t>Superstructure</t>
  </si>
  <si>
    <t xml:space="preserve">: RCC Slab Bridge </t>
  </si>
  <si>
    <t xml:space="preserve">Total Width of Slab = </t>
  </si>
  <si>
    <t xml:space="preserve"> overall length = 8.80 m</t>
  </si>
  <si>
    <t xml:space="preserve">Type of abutment </t>
  </si>
  <si>
    <t>: Reinforced concrete</t>
  </si>
  <si>
    <t>Loading</t>
  </si>
  <si>
    <t>: As for National Highway</t>
  </si>
  <si>
    <t>Back fill</t>
  </si>
  <si>
    <t xml:space="preserve">: Gravel with angle of repose     Φ = </t>
  </si>
  <si>
    <t>o</t>
  </si>
  <si>
    <t xml:space="preserve">Unit weight of back fill, w = </t>
  </si>
  <si>
    <t>kN/m3</t>
  </si>
  <si>
    <t>Angle of internal friction of soil on wall, z =</t>
  </si>
  <si>
    <t>Approach slab</t>
  </si>
  <si>
    <t>: R.C. slab 300 mm thick, adequately reinforced</t>
  </si>
  <si>
    <t>Load from superstructure per running foot of abutment wall:</t>
  </si>
  <si>
    <t>Dead load</t>
  </si>
  <si>
    <t>kN/m</t>
  </si>
  <si>
    <t>Live load</t>
  </si>
  <si>
    <t>(Refer Stability Analysis for sub structure. The above two values are obtained from the calculations for superstructure, and are taken to act over a width of 15 m).</t>
  </si>
  <si>
    <t>Bearing : Tar Paper Bearings</t>
  </si>
  <si>
    <t>(C) Self weight of abutment</t>
  </si>
  <si>
    <t>Treating the section as composed of 6   elements as shown in Fig. 1the weight of each element and moment about the point O on the front toe are computed as in Table 1</t>
  </si>
  <si>
    <t>(d) Longitudinal forces</t>
  </si>
  <si>
    <t xml:space="preserve">    (i) </t>
  </si>
  <si>
    <t>Force due to braking</t>
  </si>
  <si>
    <t xml:space="preserve">Force due to 70 R wheeled vehicle = </t>
  </si>
  <si>
    <t>This force acts at 1.2 m above the road level(Clause 214.3).</t>
  </si>
  <si>
    <t>Force on   one abutment wall =</t>
  </si>
  <si>
    <t>Horizontal force per m of wall =</t>
  </si>
  <si>
    <t>kN/ m</t>
  </si>
  <si>
    <t>(ii)</t>
  </si>
  <si>
    <t>Force due to temperature variation and shrinkage</t>
  </si>
  <si>
    <t xml:space="preserve">Assuming moderate climate, variation in temperature is taken as + </t>
  </si>
  <si>
    <t>oC as per</t>
  </si>
  <si>
    <t>Clause 218.5 of Bridge Code.</t>
  </si>
  <si>
    <t>Coefficient of Thermal expansion =</t>
  </si>
  <si>
    <t>/oC</t>
  </si>
  <si>
    <t xml:space="preserve">Strain due to temperature variation    = </t>
  </si>
  <si>
    <t xml:space="preserve">From Clause 220.3, strain due to concrete shrinkage = </t>
  </si>
  <si>
    <t xml:space="preserve">Total strain due to temperature and shrinkage = </t>
  </si>
  <si>
    <t xml:space="preserve">Horizontal deformation of deck due to temperature and shrinkage affecting one abutment = </t>
  </si>
  <si>
    <t>/2 =</t>
  </si>
  <si>
    <t>Modulus of Elasticity Ec =</t>
  </si>
  <si>
    <t>5000x fck1/2</t>
  </si>
  <si>
    <t>Horizontal Stress due to strain in longitudinal direction at bearing level =</t>
  </si>
  <si>
    <t>Horizontal Force due to strain in longitudinal direction at bearing level (For 1 m width of Slab) =</t>
  </si>
  <si>
    <t>N/m</t>
  </si>
  <si>
    <t>(iii)</t>
  </si>
  <si>
    <t>Vertical reaction   due to braking</t>
  </si>
  <si>
    <t xml:space="preserve">                                                              200(1.2 + 0.975)      </t>
  </si>
  <si>
    <t xml:space="preserve">Vertical reaction at one abutment = ---------------------- </t>
  </si>
  <si>
    <t xml:space="preserve">                                                              11.10x15</t>
  </si>
  <si>
    <t>(d)Earth pressure</t>
  </si>
  <si>
    <t>Active earth  pressure P = 0.5 wh2 Ka</t>
  </si>
  <si>
    <t>where    Ka is obtained from Equation (3.5)</t>
  </si>
  <si>
    <t>Ka = secΘ sin(Θ-Φ)/[(sin(Θ+z)1/2 +{sin(Φ+z) sin(Φ-δ)/sin(Θ-δ)}1/2]</t>
  </si>
  <si>
    <t>Where P= Total active pressure, acting at a height of 0.42 h inclined at z to the normal to the wall on the earth side</t>
  </si>
  <si>
    <t>w = unit weight of earth fill</t>
  </si>
  <si>
    <t>h = height of wall</t>
  </si>
  <si>
    <t>Θ = Angle subtended by the earthside wall with thw horizontal on the earth side</t>
  </si>
  <si>
    <t>Φ = Angle of internal friction of the earthfill</t>
  </si>
  <si>
    <t>z = angle of friction of the earthside wall with the earth</t>
  </si>
  <si>
    <t>δ = Inclination of earthfill surface with the horizontal</t>
  </si>
  <si>
    <t>Θ =</t>
  </si>
  <si>
    <t>Φ =</t>
  </si>
  <si>
    <t>z =</t>
  </si>
  <si>
    <t>δ =</t>
  </si>
  <si>
    <t xml:space="preserve">Substituting values in Equation (3.5), we get Ka = </t>
  </si>
  <si>
    <t>Coefficient</t>
  </si>
  <si>
    <t xml:space="preserve">Height of backfill below  approach   slab = </t>
  </si>
  <si>
    <t xml:space="preserve">Active  earth pressure = </t>
  </si>
  <si>
    <t>2 x</t>
  </si>
  <si>
    <t>Height above base of centre of pressure =</t>
  </si>
  <si>
    <t>Passive pressure in front of toe slab is neglected.</t>
  </si>
  <si>
    <t>(e) Live load surcharge and approach slab</t>
  </si>
  <si>
    <t>Equivalent height of earth for live load surcharge as per clause 714.4  is 1.20 m</t>
  </si>
  <si>
    <t>Horizontal force   due to L.L. surcharge =1.2 x 18 x 0.496 x 9.20 =</t>
  </si>
  <si>
    <t>Horizontal force   due to approach slab = 0.3 x 24 x 0.496 x 9.20 =</t>
  </si>
  <si>
    <t xml:space="preserve">The above two forces act at </t>
  </si>
  <si>
    <t>m  above the base.</t>
  </si>
  <si>
    <t>Vertical load due to L.L. surcharge and approach slab</t>
  </si>
  <si>
    <t xml:space="preserve">= (1.2 x 18 + 0.3 x 24 ) x 4.5 = </t>
  </si>
  <si>
    <t>(f) Weight of earth on heel  slab</t>
  </si>
  <si>
    <t xml:space="preserve">Vertical load = </t>
  </si>
  <si>
    <t>18 x4.5x (4.83000000000001 - 1)</t>
  </si>
  <si>
    <t>(g) Check for stability - overturning</t>
  </si>
  <si>
    <t>The   forces and their position are as shown in Fig. 1</t>
  </si>
  <si>
    <t>The forces and moments about the point O at toe on the base are tabulated as in</t>
  </si>
  <si>
    <t>Table 1 Two cases of lading condition are  examined (i) Span loaded condition  and  (ii) Span unloaded  condition.</t>
  </si>
  <si>
    <t>Case (i) Span loaded condition</t>
  </si>
  <si>
    <t>See Row 15 of Table 12.3</t>
  </si>
  <si>
    <t>Overturning moment about toe =</t>
  </si>
  <si>
    <t xml:space="preserve">Restoring moment about toe = </t>
  </si>
  <si>
    <t xml:space="preserve">Factor of safety against overturning = </t>
  </si>
  <si>
    <t xml:space="preserve">Location of Resultant from O </t>
  </si>
  <si>
    <t>&gt; 1.5 Hence Safe</t>
  </si>
  <si>
    <t>X0 = ( MV - MH) / V= ( 1740.9 - 623.1) / 691.4 = 1.62 m</t>
  </si>
  <si>
    <t>=(4132.472 - 471.349 ) / 1004.041 ) =</t>
  </si>
  <si>
    <t>Eccentricity of resultant</t>
  </si>
  <si>
    <t xml:space="preserve">emax = B/6 = </t>
  </si>
  <si>
    <t>/6 =</t>
  </si>
  <si>
    <t>e  = (B/2 -X0) = 0.78 m &lt; 0.80 m</t>
  </si>
  <si>
    <t>&lt;</t>
  </si>
  <si>
    <t>Case (ii) Span   unloaded condition</t>
  </si>
  <si>
    <t>See Row 11 of Table 12.3</t>
  </si>
  <si>
    <t xml:space="preserve">X0 = ( MV - MH) / V= </t>
  </si>
  <si>
    <t>=(3855.154 - 419.064 ) / 907.587 ) =</t>
  </si>
  <si>
    <t>(h)Check for stresses at base</t>
  </si>
  <si>
    <t>For Span loaded condition</t>
  </si>
  <si>
    <t xml:space="preserve">Total downward forces = </t>
  </si>
  <si>
    <t xml:space="preserve">              6 x 0.78</t>
  </si>
  <si>
    <t xml:space="preserve">Extreme stresses at base =     </t>
  </si>
  <si>
    <t>Maximum Stress =</t>
  </si>
  <si>
    <t>1004.041/(8.05x1)(1 +(6x0.38/8.05))</t>
  </si>
  <si>
    <t>Minimum Stress =</t>
  </si>
  <si>
    <t>1004.041/(8.05x1)(1 -(6x0.38/8.05))</t>
  </si>
  <si>
    <t>Table 1  Forces and Moments  About Base for Abutment.</t>
  </si>
  <si>
    <t>SI.</t>
  </si>
  <si>
    <t>Details</t>
  </si>
  <si>
    <t>Force, kN</t>
  </si>
  <si>
    <t>Moment about O, kn-m</t>
  </si>
  <si>
    <t>No.</t>
  </si>
  <si>
    <t>H</t>
  </si>
  <si>
    <t>Arm</t>
  </si>
  <si>
    <t>Mv</t>
  </si>
  <si>
    <t>MH</t>
  </si>
  <si>
    <t>D.L. from superstructure</t>
  </si>
  <si>
    <t>Horizontal force due to temperatre and shrinkage</t>
  </si>
  <si>
    <t>Active earth pressure</t>
  </si>
  <si>
    <t>Horizontal force due to L.L surcharge and approach slab</t>
  </si>
  <si>
    <t>Vertical load due to L.L.</t>
  </si>
  <si>
    <t>surcharge and approach slab</t>
  </si>
  <si>
    <t>6.</t>
  </si>
  <si>
    <t>Self weight - part 1</t>
  </si>
  <si>
    <t>8.05x1x 24 =</t>
  </si>
  <si>
    <t>7.</t>
  </si>
  <si>
    <t>Self weight - part 2</t>
  </si>
  <si>
    <t>2.18000000000001x1.05x 24 =</t>
  </si>
  <si>
    <t>8.</t>
  </si>
  <si>
    <t>Self weight - part 3</t>
  </si>
  <si>
    <t>1.68</t>
  </si>
  <si>
    <t>1.2x1.05x 24 =</t>
  </si>
  <si>
    <t>9.</t>
  </si>
  <si>
    <t>Self weight - part 4</t>
  </si>
  <si>
    <t>2.05</t>
  </si>
  <si>
    <t>0.3x0.45x 24 =</t>
  </si>
  <si>
    <t>Self weight - part 5 Triangular River Side</t>
  </si>
  <si>
    <t>1/2x2x2.63000000000001x24=</t>
  </si>
  <si>
    <t>Self weight - part 5 Triangular Earth Fill Side</t>
  </si>
  <si>
    <t>1/2x4x2.83000000000001x24=</t>
  </si>
  <si>
    <t>10.</t>
  </si>
  <si>
    <t>Weight of earth on heel slab part 1 Rectangular Portion</t>
  </si>
  <si>
    <t>0.5 x 3.83000000000001 x 18=</t>
  </si>
  <si>
    <t>Weight of earth on heel slab part 2 Triangular Portion</t>
  </si>
  <si>
    <t>1/2x4x3.83000000000001x18=</t>
  </si>
  <si>
    <t>11.</t>
  </si>
  <si>
    <t xml:space="preserve">   Items 1 to 10</t>
  </si>
  <si>
    <t xml:space="preserve">   (Span unloaded condition)</t>
  </si>
  <si>
    <t>12.</t>
  </si>
  <si>
    <t>L.L. from Superstructure</t>
  </si>
  <si>
    <t xml:space="preserve">   Class 70 R wheeled vehicle</t>
  </si>
  <si>
    <t>13.</t>
  </si>
  <si>
    <t>Vertical force due to braking</t>
  </si>
  <si>
    <t>14.</t>
  </si>
  <si>
    <t>Horizontal force due to braking</t>
  </si>
  <si>
    <t>15.</t>
  </si>
  <si>
    <t xml:space="preserve">  Items 11 to 14</t>
  </si>
  <si>
    <t xml:space="preserve">     (Span loaded condition)</t>
  </si>
  <si>
    <t>NET LONGITUDINAL MOMENT</t>
  </si>
  <si>
    <t xml:space="preserve">Maximum pressure =  </t>
  </si>
  <si>
    <t>kN/m2 &lt;</t>
  </si>
  <si>
    <t>kN/m2 permissible HENCE OK.</t>
  </si>
  <si>
    <t xml:space="preserve">Minimum pressure  =  </t>
  </si>
  <si>
    <t>kN/m2 &gt;0 (No tension) HENCE OK.</t>
  </si>
  <si>
    <t>(i)  Check for sliding</t>
  </si>
  <si>
    <t>See Row 15 of Table 1</t>
  </si>
  <si>
    <t xml:space="preserve">Sliding force = </t>
  </si>
  <si>
    <t xml:space="preserve"> kN</t>
  </si>
  <si>
    <t>Force resisting sliding =</t>
  </si>
  <si>
    <t xml:space="preserve">Factor of Safety against    sliding = </t>
  </si>
  <si>
    <t xml:space="preserve">/ </t>
  </si>
  <si>
    <t>(j) Summary</t>
  </si>
  <si>
    <t>The assumed section of the abutment is adequate.</t>
  </si>
  <si>
    <t xml:space="preserve">DESIGN OF ABUTMENT FOOTING </t>
  </si>
  <si>
    <t>REDISTRIBUTION OF PRESSURE</t>
  </si>
  <si>
    <t>Width of Abutment just above footing</t>
  </si>
  <si>
    <t>Adopt spacing as 150 mm</t>
  </si>
  <si>
    <t xml:space="preserve">REINFORCEMENT CALCULATION IN ABUTMENT SUBMERSIBLE BRIDGE  </t>
  </si>
  <si>
    <t>Shrinkage and Temperature reinforcement required per metre =</t>
  </si>
  <si>
    <t>mm dia</t>
  </si>
  <si>
    <t>HORIZONTAL SHRINKAGE &amp;TEMPERATURE REINFORCEMENT</t>
  </si>
  <si>
    <t>In Vertical direction on all FOUR faces</t>
  </si>
  <si>
    <t>VERTICAL SHRINKAGE &amp;TEMPERATURE REINFORCEMENT</t>
  </si>
  <si>
    <t>In Lateral direction on all FOUR faces</t>
  </si>
  <si>
    <t xml:space="preserve">DESIGN OF Abutment CAP SUBMERSIBLE BRIDGE </t>
  </si>
  <si>
    <t>DESIGN OF Abutment CAP :-</t>
  </si>
  <si>
    <t xml:space="preserve">  D.L. of Slab &amp; Wearing coat on half of the Abutment </t>
  </si>
  <si>
    <t xml:space="preserve">   L.L. on Abutment cap including impact along bridge </t>
  </si>
  <si>
    <t xml:space="preserve">    Live Load u.d.l. on Abutment    </t>
  </si>
  <si>
    <t xml:space="preserve">    of Abutment along bridge </t>
  </si>
  <si>
    <t>Moment in Abutment cap</t>
  </si>
  <si>
    <t>Abutment SECTION ACROSS BRIDGE</t>
  </si>
  <si>
    <t xml:space="preserve">D.L. of Slab &amp; Wearing coat on half of the Abutment </t>
  </si>
  <si>
    <t xml:space="preserve">L.L on Abutment </t>
  </si>
  <si>
    <t xml:space="preserve"> L.L. . per M  width on Abutment   =      </t>
  </si>
  <si>
    <t>Total D.L. + L.L. on half of  Abutment across</t>
  </si>
  <si>
    <t>The Live Load is with clearance from the Footpath and kerb. The cantilever portion of Abutment cap and width of footpath is 1500 mm</t>
  </si>
  <si>
    <t>Minimum Reinforcement calculation for Abutment cap :-</t>
  </si>
  <si>
    <t xml:space="preserve"> As per clause 710.8.2, IRC- 78 - 2000, the thickness of Abutment</t>
  </si>
  <si>
    <t xml:space="preserve"> of Abutment cap here is 1200 MM.</t>
  </si>
  <si>
    <t>Provide 25 mm tor reiforcement @ 100 mm c/c ( 14 Nos.) in top along the Abutment cap</t>
  </si>
  <si>
    <t>Provide 16 mm tor reiforcement @ 100 mm c/c ( 14 Nos.) in bottom along the Abutment cap</t>
  </si>
  <si>
    <t xml:space="preserve">Provide 16 mm tor 2 legged vertical stirrups @ 100 mm centre to centre along the Abutment cap </t>
  </si>
  <si>
    <t>Provide 16 mm tor 2 legged horizontal stirrups @ 100 mm centre to centre along the Abutment cap</t>
  </si>
  <si>
    <t>DESIGN OF DIRT WALL AS COLUMN WITH BENDING</t>
  </si>
  <si>
    <t>AXIAL LOAD ON THE DIRT WALL</t>
  </si>
  <si>
    <t>ASSUME WIDTH OF DIRT WALL</t>
  </si>
  <si>
    <t>EMIN/B</t>
  </si>
  <si>
    <t>ASSUME DEPTH OF DIRT WALL</t>
  </si>
  <si>
    <t>EMIN/D</t>
  </si>
  <si>
    <t>MOMENT TRANSFERRED TO DIRT WALL</t>
  </si>
  <si>
    <t>KN-M</t>
  </si>
  <si>
    <t>FACTORED AXIAL LOAD</t>
  </si>
  <si>
    <t>FACTORED MOMENT</t>
  </si>
  <si>
    <t>DIA OF LONGITUDINAL REINFORCEMENT</t>
  </si>
  <si>
    <t>CLEAR COVER</t>
  </si>
  <si>
    <t>d'</t>
  </si>
  <si>
    <t>d'/D</t>
  </si>
  <si>
    <t>ADOPT d'/D</t>
  </si>
  <si>
    <t>PU/FCKBD</t>
  </si>
  <si>
    <t>MU/FCKBD2</t>
  </si>
  <si>
    <t>REINFORCEMENT EQUALLY DISTRIDUTED ON  TWO SIDES</t>
  </si>
  <si>
    <t>USING CHART NO- OF RCC DESIGN AIDS</t>
  </si>
  <si>
    <t>CONC GRADE M-30</t>
  </si>
  <si>
    <t>P/FCK</t>
  </si>
  <si>
    <t>&gt; Minimum Steel 0.2% Hence OK</t>
  </si>
  <si>
    <t>AS</t>
  </si>
  <si>
    <t>SQ MM</t>
  </si>
  <si>
    <t>TOTAL NUMBER OF BARS REQUIRED</t>
  </si>
  <si>
    <t>NUMBER OF BARS ON EACH SIDE</t>
  </si>
  <si>
    <t xml:space="preserve">SPACING </t>
  </si>
  <si>
    <t xml:space="preserve">Alternate design Considering dirt wall as cantilever </t>
  </si>
  <si>
    <t>B.M.</t>
  </si>
  <si>
    <t>deff reqd.   =</t>
  </si>
  <si>
    <t>10 6</t>
  </si>
  <si>
    <t>dpro</t>
  </si>
  <si>
    <t>&gt;</t>
  </si>
  <si>
    <t>(OK)</t>
  </si>
  <si>
    <t>Ast</t>
  </si>
  <si>
    <t>This steel is to be provided on back</t>
  </si>
  <si>
    <t xml:space="preserve">i.e. </t>
  </si>
  <si>
    <t>approach slab side</t>
  </si>
  <si>
    <t>Provide Vertical steel as follows</t>
  </si>
  <si>
    <t>On River side 10mm bars @ 150 mm c/c</t>
  </si>
  <si>
    <t>On Approach Slab side 10mm bars @ 150 Mm c/c</t>
  </si>
  <si>
    <t>Minimum steel required in Horizontal direction</t>
  </si>
  <si>
    <t>i.e. 250 mm2</t>
  </si>
  <si>
    <t>on each face</t>
  </si>
  <si>
    <t>provide  10</t>
  </si>
  <si>
    <t>@ 250 mm</t>
  </si>
  <si>
    <t>c/c</t>
  </si>
  <si>
    <t xml:space="preserve">VERTICAL REINFORCEMENT IN SHAPE OF STIRRUPS on both faces </t>
  </si>
  <si>
    <t>DIA</t>
  </si>
  <si>
    <t xml:space="preserve">HORIZONTAL REINFORCEMENT BAR DIA on both faces </t>
  </si>
  <si>
    <t>Design of Dirt Wall</t>
  </si>
  <si>
    <t>Dirt wall is subjected to</t>
  </si>
  <si>
    <t xml:space="preserve">(1) </t>
  </si>
  <si>
    <t xml:space="preserve">(2) </t>
  </si>
  <si>
    <t>Live load surcharge</t>
  </si>
  <si>
    <t>(3)</t>
  </si>
  <si>
    <t>Braking force</t>
  </si>
  <si>
    <t>Earth Pressure</t>
  </si>
  <si>
    <t>1)</t>
  </si>
  <si>
    <t>Consider 70 T tracked vehicle case is</t>
  </si>
  <si>
    <t>governing &amp; 14 T Axle over dirt wall,</t>
  </si>
  <si>
    <t>Dispersion width at top of DIRT WALL</t>
  </si>
  <si>
    <t>Live Load</t>
  </si>
  <si>
    <t>M Length</t>
  </si>
  <si>
    <t>2)</t>
  </si>
  <si>
    <t>Self wt. of dirt wall</t>
  </si>
  <si>
    <t>Say</t>
  </si>
  <si>
    <t>Total direct loads  =</t>
  </si>
  <si>
    <t xml:space="preserve">Here considering that only 70% of Braking </t>
  </si>
  <si>
    <t>force will be on dirt wall &amp; the</t>
  </si>
  <si>
    <t>rest of braking force will be on  soil.</t>
  </si>
  <si>
    <t>=  Braking force/mt.</t>
  </si>
  <si>
    <t>=  B.M. due to Braking force</t>
  </si>
  <si>
    <t>x       (</t>
  </si>
  <si>
    <t>+   [</t>
  </si>
  <si>
    <t>]  )</t>
  </si>
  <si>
    <t>Intensity of Earth Pressure at Deck Level</t>
  </si>
  <si>
    <t>T/M2</t>
  </si>
  <si>
    <t>Intensity of Earth Pressure at top of Abutment Cap</t>
  </si>
  <si>
    <t>x    (</t>
  </si>
  <si>
    <t>B.M. due to Earth Pressure &amp; Live Load</t>
  </si>
  <si>
    <t>Surcharge/M width</t>
  </si>
  <si>
    <t>=       (</t>
  </si>
  <si>
    <t>)   X</t>
  </si>
  <si>
    <t xml:space="preserve">  X</t>
  </si>
  <si>
    <t>Total BM at top of DIRT WALL</t>
  </si>
  <si>
    <t xml:space="preserve">Direct Stress </t>
  </si>
  <si>
    <t>10 3</t>
  </si>
  <si>
    <t>Kg./Cm2</t>
  </si>
  <si>
    <t xml:space="preserve">Bending Stress </t>
  </si>
  <si>
    <t>30 2</t>
  </si>
  <si>
    <t>For M 30 Grade,</t>
  </si>
  <si>
    <t>Permissible Bending Stress  =</t>
  </si>
  <si>
    <t>Permissible Direct Compressive</t>
  </si>
  <si>
    <t>HENCE OK.</t>
  </si>
  <si>
    <t>DEAD LOAD CALCULATION :-</t>
  </si>
  <si>
    <t>DEPTH OF DECK SLAB =</t>
  </si>
  <si>
    <t>DEPTH OF WEARING COAT =</t>
  </si>
  <si>
    <t>DIA OF MAIN BAR =</t>
  </si>
  <si>
    <t>Clear cover =</t>
  </si>
  <si>
    <t xml:space="preserve">Effective depth of slab deffective  = </t>
  </si>
  <si>
    <t xml:space="preserve">Effective SpanLeffective    =   </t>
  </si>
  <si>
    <t>DESIGN DEAD LOAD :-</t>
  </si>
  <si>
    <t>(1) Weight / Sqm  of Slab</t>
  </si>
  <si>
    <t>T/ Sqm</t>
  </si>
  <si>
    <t>(2) Weight / Sqm  of wearing coat</t>
  </si>
  <si>
    <t>Total DL</t>
  </si>
  <si>
    <t>DEAD LOAD BENDING MOMENT</t>
  </si>
  <si>
    <t>2.4x10x10/8 =</t>
  </si>
  <si>
    <t>= 3.6+2(0.075+0.925)=</t>
  </si>
  <si>
    <t xml:space="preserve"> be  =  K  x       ( 1  - x/Le )   + Bw</t>
  </si>
  <si>
    <t>K  =  A Constant having the value depending upon the ratio (be/Le)  where ---</t>
  </si>
  <si>
    <t>Here ,</t>
  </si>
  <si>
    <t>be</t>
  </si>
  <si>
    <t>Le</t>
  </si>
  <si>
    <t>be/Le</t>
  </si>
  <si>
    <t xml:space="preserve">Value  of    K </t>
  </si>
  <si>
    <t>Bw   =</t>
  </si>
  <si>
    <t>0.85 + (2 x 0.075) =</t>
  </si>
  <si>
    <t>Le/2</t>
  </si>
  <si>
    <t xml:space="preserve">be </t>
  </si>
  <si>
    <t>The tracked vehicle is placed at a distance of minimum clearence of 1.2 m from Kerb</t>
  </si>
  <si>
    <t>Dispersion across span = C/C distance between wheels + width from centre of wheel on clearence side</t>
  </si>
  <si>
    <t xml:space="preserve">    + Least on other side or half the dispersion of one wheel.</t>
  </si>
  <si>
    <t xml:space="preserve"> = 2.05 + 1.93  + Least of 3.825 Or  5.6/2</t>
  </si>
  <si>
    <t xml:space="preserve"> = 2.05 + 1.93  + 2.8</t>
  </si>
  <si>
    <t>Total load with impact</t>
  </si>
  <si>
    <t>=  70   x    1.1375</t>
  </si>
  <si>
    <t>Intensity of Load</t>
  </si>
  <si>
    <t>/(</t>
  </si>
  <si>
    <t>) =</t>
  </si>
  <si>
    <t xml:space="preserve">Maximum Bending Moment due to Live load , at centre </t>
  </si>
  <si>
    <t xml:space="preserve"> = 5.34  x</t>
  </si>
  <si>
    <t>(10.00  -</t>
  </si>
  <si>
    <t xml:space="preserve">      =</t>
  </si>
  <si>
    <t>T - M</t>
  </si>
  <si>
    <t>Class AA wheeled  vehicle :-</t>
  </si>
  <si>
    <t>For Maximum B.M. at Centre of the span, the Centre of gravity of the loads and</t>
  </si>
  <si>
    <t xml:space="preserve">the centre of the span should coincide </t>
  </si>
  <si>
    <t xml:space="preserve">  tp =  </t>
  </si>
  <si>
    <t xml:space="preserve">  tc = </t>
  </si>
  <si>
    <t xml:space="preserve"> = 0.15  +  2 ( 0.075 + 0.75)</t>
  </si>
  <si>
    <t xml:space="preserve"> Dispersion between two wheel is overlapping hence restricted to 1.2 M</t>
  </si>
  <si>
    <t xml:space="preserve">  = 1.2</t>
  </si>
  <si>
    <t xml:space="preserve"> =  3.0 m</t>
  </si>
  <si>
    <t>DISPERSION ALONG SPAN ( CLASS AA WHEELED VEHICLE )</t>
  </si>
  <si>
    <t>(B) Dispersion width across the span :-</t>
  </si>
  <si>
    <t xml:space="preserve"> be  =  k x ( 1 - X/L )  + w</t>
  </si>
  <si>
    <t xml:space="preserve"> Le  =  10.0 M  &amp; L1  = 7.5 M</t>
  </si>
  <si>
    <t xml:space="preserve">  =</t>
  </si>
  <si>
    <t xml:space="preserve">Value of  </t>
  </si>
  <si>
    <t>K  = 2.4</t>
  </si>
  <si>
    <t xml:space="preserve"> X  =</t>
  </si>
  <si>
    <t>L/2   =   10/2</t>
  </si>
  <si>
    <t xml:space="preserve"> = 5.00 M</t>
  </si>
  <si>
    <t xml:space="preserve">Bw  = </t>
  </si>
  <si>
    <t xml:space="preserve">0.30  +  2 ( 0.075)   =       </t>
  </si>
  <si>
    <t>be  =   2.4 x 5 x ( 1 - 5.00/10.00) + 0.45</t>
  </si>
  <si>
    <t>(For one Wheel )</t>
  </si>
  <si>
    <t>DISPERSION ACROSS THE SPAN (CLASS AA WHEELED HEVHICLE)</t>
  </si>
  <si>
    <t>When the wheel is placed at a distnace of minimum clearance of 1-2 M from Kerb,</t>
  </si>
  <si>
    <t xml:space="preserve">  Combined effective width</t>
  </si>
  <si>
    <t xml:space="preserve"> =  c/c distance between wheels</t>
  </si>
  <si>
    <t xml:space="preserve">      + 1/2 of the dispersion of one wheel</t>
  </si>
  <si>
    <t xml:space="preserve">      + least of available width from centre of wheel on clearance side or half the dispersion</t>
  </si>
  <si>
    <t xml:space="preserve">         of  one wheel </t>
  </si>
  <si>
    <t xml:space="preserve"> =   2.2</t>
  </si>
  <si>
    <t xml:space="preserve"> + 6.45</t>
  </si>
  <si>
    <t xml:space="preserve"> + Lesser of  1.655 &amp; </t>
  </si>
  <si>
    <t xml:space="preserve"> + 3.225  +   1.655</t>
  </si>
  <si>
    <t>According to clause 211.3  (a) (ii) section-III, IRC 6- 1966</t>
  </si>
  <si>
    <t xml:space="preserve">     Impact factor  =   25%</t>
  </si>
  <si>
    <t xml:space="preserve">  = Total load of tracks with impact </t>
  </si>
  <si>
    <t xml:space="preserve">   =      20   x  1.25</t>
  </si>
  <si>
    <t xml:space="preserve">   =       25 T</t>
  </si>
  <si>
    <t>Intensity      =</t>
  </si>
  <si>
    <t>Load</t>
  </si>
  <si>
    <t>dispersion along x across the span</t>
  </si>
  <si>
    <t>25 x 2</t>
  </si>
  <si>
    <t>3.00 x 7.08</t>
  </si>
  <si>
    <t xml:space="preserve">Maximum B.M. due to Live load at centre </t>
  </si>
  <si>
    <t xml:space="preserve"> = 2.35  x</t>
  </si>
  <si>
    <t xml:space="preserve"> =  2.35x3 </t>
  </si>
  <si>
    <t>( 5 - 3  )</t>
  </si>
  <si>
    <t>Here from bending moment view point class AA tracked vehical is governing</t>
  </si>
  <si>
    <t>Hence Maximum Bending Moment due to Live load =  15.527 T - M</t>
  </si>
  <si>
    <t>Total B.M =</t>
  </si>
  <si>
    <t>B.M due to Dead load  +   BM. Due to Live load</t>
  </si>
  <si>
    <t xml:space="preserve">               PREAMBLE</t>
  </si>
  <si>
    <t>Type of Bridge</t>
  </si>
  <si>
    <t>TYPE</t>
  </si>
  <si>
    <t>HFL</t>
  </si>
  <si>
    <t>DECK</t>
  </si>
  <si>
    <t xml:space="preserve">The proposed bridge shall be a Submersible  bridge; The HFL is 442.5 m and the proposed Bridge Deck level is 442.63 m. </t>
  </si>
  <si>
    <t>Submersible</t>
  </si>
  <si>
    <t>The Afflux flood level is below the Top of Deck slab hence the traffic will have no obstruction throughout the year.</t>
  </si>
  <si>
    <t>Decking Arrangement</t>
  </si>
  <si>
    <t>The Deck Slab shall standard RCC deck slabs each 8400 mm wide i.e. 7500 mm carriage way and guard stones on both sides. There shall be 25 mm wide expansion joint between the adjacent deck slabs along the length of the bridge. The location of proposed road is right angle to the direction of flow.</t>
  </si>
  <si>
    <t>spans</t>
  </si>
  <si>
    <t>There shall be  12 Nos. of spans. The centre to centre distance for the spans shall be  10.8 M .</t>
  </si>
  <si>
    <t>Standard RCC Solid Slab Superstructure with right effective span  10 M Without footpath shall be provided in accordance to the Ministry of Surface Transport (Roads Wing), New Delhi drawings..</t>
  </si>
  <si>
    <t>Without</t>
  </si>
  <si>
    <t>FOOTPATH</t>
  </si>
  <si>
    <t xml:space="preserve"> It is proposed to construct 8400 mm wide slabs of these standard drawings. As per requirement of use in the proposed bridge the deviation with respect to these drawings shall be as follows: - </t>
  </si>
  <si>
    <t>1. Pier Cap Width 1200 mm.</t>
  </si>
  <si>
    <t>2. Footpath &amp; Railing: - There shall be RCC  Guard Posts on both sides.</t>
  </si>
  <si>
    <t>Railing</t>
  </si>
  <si>
    <t>Guard Posts</t>
  </si>
  <si>
    <t>3. Reinforcement Detailing: - The reinforcement detailing is suitably modified as required for the modifications referred above in points 1 to 2.</t>
  </si>
  <si>
    <t xml:space="preserve"> [In the reference drawing the pier cap width is 800 mm]. The width of piers shall be1200 mm. Due to this change the Centre-to-Centre distance shall be 10800 mm (centre to centre over piers). For all spans the clear span shall be 9600 mm.</t>
  </si>
  <si>
    <t>pier</t>
  </si>
  <si>
    <t>The length of reinforcement shall be modified as per these geometrical requirements however spacing of the reinforcement shall not be altered.</t>
  </si>
  <si>
    <t>The proposed decking arrangement is shown in Drawing " D-01 " titled as Decking arrangement.</t>
  </si>
  <si>
    <t>Design Loads</t>
  </si>
  <si>
    <t>The following loads have been considered in the design of deck slab and for the stability of the sub structure: -</t>
  </si>
  <si>
    <t xml:space="preserve">[A] Maximum of the following cases </t>
  </si>
  <si>
    <t xml:space="preserve"> I.      One lane of IRC class 70R on carriage way</t>
  </si>
  <si>
    <t>II.      One lanes of IRC Class A on carriage way</t>
  </si>
  <si>
    <t>III.      Two lanes of IRC Class A on carriage way</t>
  </si>
  <si>
    <t>IV.      Three lanes of IRC Class A on carriage way</t>
  </si>
  <si>
    <t>V.      One lane of IRC class 70R and one lane of IRC Class A on carriage way</t>
  </si>
  <si>
    <t>VI.      One lane of IRC class AA TRACKED VEHICLE on carriage way</t>
  </si>
  <si>
    <t>In order to account for two adjacent slabs, the resultant reactions and moments have been multiplied by 2 for stability check of the sub structure.</t>
  </si>
  <si>
    <t xml:space="preserve">[B] Other Loads </t>
  </si>
  <si>
    <t>a) Footpath load of 5KN/Sqm.</t>
  </si>
  <si>
    <t>b) Wearing coat land of 2 KN/Sqm.</t>
  </si>
  <si>
    <t>Safe Bearing Capacity</t>
  </si>
  <si>
    <t>The detailed sub soil investigation report for a bridge constructed in the vicinity of the bridge is enclosed.</t>
  </si>
  <si>
    <t>The foundation rock is safe against the eroding effects of the water flow and other climatic conditions.</t>
  </si>
  <si>
    <t>As per detailed Subsoil Investigation the lowest safe bearing capacity for rectangular footing at depth 3 M and downwards is  200 kN/ Sq. M; Hence the Safe Bearing Capacity adopted for design is 200 kN/ Sq. M.</t>
  </si>
  <si>
    <t>Scour Depth</t>
  </si>
  <si>
    <t xml:space="preserve">The maximum scour depth computed is  6.31 M. As per Clause No. 703-2-3-1 of IRC 78-1983 considering Scour at the pier two times of calculated scour depth below the highest flood level. </t>
  </si>
  <si>
    <t>Depth of Foundation/Founding Level</t>
  </si>
  <si>
    <t>For all the footings no hard rock is available; hence the foundation shall be laid at indicated levels for each footing. The founding level is above the maximum scour depth level; Hence necessary bed protection shall be constructed.</t>
  </si>
  <si>
    <t>Reinforcement Detail &amp; other Detail of Deck slab</t>
  </si>
  <si>
    <t xml:space="preserve">Ministry of surface transport details drawings are enclosed </t>
  </si>
  <si>
    <t xml:space="preserve">The right effective span of the proposed bridge is 9.60 m. The length along the centre line of road between pier centres is 10.80 m. </t>
  </si>
  <si>
    <t>The deck slab pertaining to 10 m. right effective span shall be provided as given in MOST drawings Publication "RCC SOLID SLAB SUPERSTRUCTURE 30 DEGREES SKEW RIGHT EFFECTIVE SPAN 10 M WITHOUT FOOTPATH" No. SD/151, SD/152, SD/153, SD/156,  SD/157, SD/158, SD/159, SD/160 AND SD/176.</t>
  </si>
  <si>
    <t>In the drawing the clear right span is 9600 mm. The proposed bridge shall have clear right span as 9600 mm conforming to the standard drawing adopted.</t>
  </si>
  <si>
    <t>Bearing detail</t>
  </si>
  <si>
    <t>Tar paper bearing shall be providing on top of pier cap &amp; abutment cap.</t>
  </si>
  <si>
    <t>The approcach slab shall be 300 mm thick RCC Slab laid over PCC bed. The detail of approach slab is enclosed as drawing D-03.</t>
  </si>
  <si>
    <t xml:space="preserve">Pier Cap Detail </t>
  </si>
  <si>
    <t>Pier cap drawing is enclosed as annexure D-05.</t>
  </si>
  <si>
    <t>BRIDGE DESIGN</t>
  </si>
  <si>
    <t>ABUTMENT DESIGN</t>
  </si>
  <si>
    <t>ABUTMENT DESIGN PARAMETERS</t>
  </si>
  <si>
    <t>========================</t>
  </si>
  <si>
    <t>Geometric Dimensions</t>
  </si>
  <si>
    <t>Height (m):</t>
  </si>
  <si>
    <t>Depth (m):</t>
  </si>
  <si>
    <t>Base Width (m):</t>
  </si>
  <si>
    <t>Base Length (m):</t>
  </si>
  <si>
    <t>Wing Wall Parameters</t>
  </si>
  <si>
    <t>Thickness (m):</t>
  </si>
  <si>
    <t>Material Quantities</t>
  </si>
  <si>
    <t>Abutment Concrete (m³):</t>
  </si>
  <si>
    <t>Base Concrete (m³):</t>
  </si>
  <si>
    <t>Wing Wall Concrete (m³):</t>
  </si>
  <si>
    <t>Structural Checks</t>
  </si>
  <si>
    <t>Active Earth Pressure:</t>
  </si>
  <si>
    <t>Vertical Load:</t>
  </si>
  <si>
    <t>Sliding FOS:</t>
  </si>
  <si>
    <t>Overturning FOS:</t>
  </si>
  <si>
    <t>Bearing FOS:</t>
  </si>
  <si>
    <t>M Higher than Pier footing Level</t>
  </si>
  <si>
    <t>VARIANTS</t>
  </si>
  <si>
    <t xml:space="preserve"> overall length = 12.80 m</t>
  </si>
  <si>
    <t xml:space="preserve">= (1.2 x 18 + 0.3 x 24 ) x 2.7 = </t>
  </si>
  <si>
    <t>18 x2.7x (4.20400000000002 - 1)</t>
  </si>
  <si>
    <t>=(1288.387 - 337.061 ) / 488.963 ) =</t>
  </si>
  <si>
    <t>=(1170.553 - 305.702 ) / 420.661 ) =</t>
  </si>
  <si>
    <t>488.963/(5.1x1)(1 +(6x0.6/5.1))</t>
  </si>
  <si>
    <t>488.963/(5.1x1)(1 -(6x0.6/5.1))</t>
  </si>
  <si>
    <t>5.1x1x 24 =</t>
  </si>
  <si>
    <t>1.55400000000002x1.05x 24 =</t>
  </si>
  <si>
    <t>1 x 3.20400000000002 x 18=</t>
  </si>
  <si>
    <t xml:space="preserve">DESIGN OF RETURN WALL FOOTING </t>
  </si>
  <si>
    <t>HIGH LEVEL BRIDGE - ACROSS SIRVAL RIVER</t>
  </si>
  <si>
    <t>BOTTOM WIDTH OF RETURN WALL</t>
  </si>
  <si>
    <t>Moment about the Face of Return</t>
  </si>
  <si>
    <t>Adopt spacing as 2000 mm</t>
  </si>
  <si>
    <t>WIDTH OF RETURN WALL</t>
  </si>
  <si>
    <t xml:space="preserve">Footing size </t>
  </si>
  <si>
    <t xml:space="preserve">REINFORCEMENT CALCULATION IN CANTILEVER ABUTMENT </t>
  </si>
  <si>
    <t>LONGITUDINAL MOMENT</t>
  </si>
  <si>
    <t>LONGITUDINAL MOMENT Due To Braking Force</t>
  </si>
  <si>
    <t>TRANSVERSE MOMENT due to Braking Force and water current</t>
  </si>
  <si>
    <t>One Slab only</t>
  </si>
  <si>
    <t>TOTAL TRANSVERSE MOMENT</t>
  </si>
  <si>
    <t>TOTAL LONGITUDINAL MOMENT</t>
  </si>
  <si>
    <t>REINFORCEMENT CALCULATION IN CANTILEVER RETURNS</t>
  </si>
  <si>
    <t>PROPOSED BOTOM WIDTH</t>
  </si>
  <si>
    <t xml:space="preserve">Moment </t>
  </si>
  <si>
    <t>However Adopt spacing as 150 mm</t>
  </si>
  <si>
    <t xml:space="preserve">DESIGN OF Abutment CAP HIGH LEVEL BRIDGE </t>
  </si>
  <si>
    <t>DETAILED PROJECT REPORT</t>
  </si>
  <si>
    <t>PROJECT ESTIMATION PARAMETERS</t>
  </si>
  <si>
    <t>===========================</t>
  </si>
  <si>
    <t>Total Concrete (m³):</t>
  </si>
  <si>
    <t>Total Steel (tonnes):</t>
  </si>
  <si>
    <t>Formwork Area (m²):</t>
  </si>
  <si>
    <t>Technical - Report</t>
  </si>
  <si>
    <t xml:space="preserve">Name of Project </t>
  </si>
  <si>
    <t>:-</t>
  </si>
  <si>
    <t>Authority</t>
  </si>
  <si>
    <t xml:space="preserve">Necessity </t>
  </si>
  <si>
    <t xml:space="preserve">Specification Proposed : </t>
  </si>
  <si>
    <t xml:space="preserve">The following specifications are proposed in this estimete as under -  </t>
  </si>
  <si>
    <t xml:space="preserve">The administrative sanction for Construction of High Level Bridge having 8 Nos. span of 10.00 M each and open foundation has been proposed. The substructure in RCC wall type piers in M-25 and RCC solid slab simply supprted dacking also in M-30 (Design Mix Concreate). The solid slab has deck slab proposed to be properly Anchored into The pier cap against uplifting and drag. The pier footing has also proposed to be similarly anchored into the rocky strata. </t>
  </si>
  <si>
    <t xml:space="preserve">(a) Foundation Concreate P.C.C. M-15 grade  20 mm nominal size aggregate. </t>
  </si>
  <si>
    <t>(b) Foundation Footing of Piers - it has been proposed of RCC mix M-25. The annular space filled with M-15 with 20 mm nominal Size stone aggregate upto the top of the rock.</t>
  </si>
  <si>
    <t>(C) Foundation Footing of Abutments - It has been proposed of RCC mix M-20 The annular space filled with P.C.C. M-15 grade concreate with 20mm nominal Size stone aggregate upto the top of the rock.</t>
  </si>
  <si>
    <t>(D) Piers, Pier caps - These has been proposed of RCC Mix M-25</t>
  </si>
  <si>
    <t>(E) Abutments, Abutment caps and Dirt wall - These has been proposed of RCC Mix M-25</t>
  </si>
  <si>
    <t>(F) Deck Slab - The simply supported deck slab has been proposed of R.C.C. mix M-30. The deck slab shall be anchored at both ends with 25mm dia anchor bolts to prevent it from uplift and the drag of flowing water.</t>
  </si>
  <si>
    <t>(G) Guard Stone - RCC guardd stones has been proposed of mix M-25 as per recommendations of IRC special publiciation on Submersible bridges. Ref IRC:SP:82-2008</t>
  </si>
  <si>
    <t>(H) Wearing Coat - M-30 concreate with reinforcement as per IRC recommendation is proposed. The average thickness of the wearing coat 75mm.</t>
  </si>
  <si>
    <t xml:space="preserve">(I) Approach slab - Approach slab has been proposed of RCC M-25 overlaid  _x000d_
          The wearing coat similar to that on deck slab has been proposed provided over the approach slab. </t>
  </si>
  <si>
    <t>(J) Filling behind Abutment &amp; Wing walls- The back Fill has been proposed of locally available granular material it shall be compacted as per specifications.</t>
  </si>
  <si>
    <t>(K) Earth work in cutting for grade improvement on approches has been proposed.</t>
  </si>
  <si>
    <t xml:space="preserve">Estimated Cost of Work </t>
  </si>
  <si>
    <t>The Estimated Cost comes to Rs.987.60 Lacs</t>
  </si>
  <si>
    <t xml:space="preserve">Rates </t>
  </si>
  <si>
    <t xml:space="preserve">The Estimate based on PWD BSR Road 2022  (Rajasthan). </t>
  </si>
  <si>
    <t>Job No.</t>
  </si>
  <si>
    <t xml:space="preserve">PUBLIC WORKS  DEPARTMENT, DIVISION - </t>
  </si>
  <si>
    <t>GENERAL ABSTRACT</t>
  </si>
  <si>
    <t xml:space="preserve">Name of Work  :-   </t>
  </si>
  <si>
    <t>Sr.No.</t>
  </si>
  <si>
    <t xml:space="preserve">                    Items</t>
  </si>
  <si>
    <t>Amount</t>
  </si>
  <si>
    <t xml:space="preserve">Bridge Work </t>
  </si>
  <si>
    <t xml:space="preserve">                  Total =&gt; Rs.</t>
  </si>
  <si>
    <t>Add 1.00% for Quality Control Charges</t>
  </si>
  <si>
    <t>Add 3% for Contengency Charges</t>
  </si>
  <si>
    <t xml:space="preserve">Add 1.50 % for Contingencies Charges </t>
  </si>
  <si>
    <t>G. Total Rs. :-</t>
  </si>
  <si>
    <t xml:space="preserve">Add 13.00 % for Prorata Charges </t>
  </si>
  <si>
    <t>Say Rs. :-</t>
  </si>
  <si>
    <t>Lacs.</t>
  </si>
  <si>
    <t>ABSTRACT OF COST</t>
  </si>
  <si>
    <t>S.No.</t>
  </si>
  <si>
    <t>Qty.</t>
  </si>
  <si>
    <t>Rate</t>
  </si>
  <si>
    <t>Unit</t>
  </si>
  <si>
    <t xml:space="preserve">1 (a) </t>
  </si>
  <si>
    <t xml:space="preserve">Excavation for Structures (Earth work in excavation of foundation of structures as per drawing and technical specification,  including setting out,  construction of shoring and bracing,  removal of stumps and other deleterious matter,  dressing of sides and bottom and backfilling with approved material.) Ordinary soil. Mechanical Means.  Depth upto 3 m </t>
  </si>
  <si>
    <t xml:space="preserve">Foundation Work </t>
  </si>
  <si>
    <t xml:space="preserve">Cum </t>
  </si>
  <si>
    <t xml:space="preserve">Approches </t>
  </si>
  <si>
    <t>Cum</t>
  </si>
  <si>
    <t>(b)</t>
  </si>
  <si>
    <t xml:space="preserve">Above 3m to 6m depth </t>
  </si>
  <si>
    <t>©</t>
  </si>
  <si>
    <t>Ordinary/Soft rock (not requiring blasting) [MoRTH Specification : Clause 301]. BY MECHANICAL MEANS</t>
  </si>
  <si>
    <t>(d)</t>
  </si>
  <si>
    <t>Hard rock ( requiring blasting )</t>
  </si>
  <si>
    <t xml:space="preserve"> Plain/Reinforced cement concrete in open foundation complete as per drawing and technical specifications</t>
  </si>
  <si>
    <t xml:space="preserve">PCC Grade M15 </t>
  </si>
  <si>
    <t xml:space="preserve">RCC Grade M20 </t>
  </si>
  <si>
    <t xml:space="preserve">Using concrete mixer </t>
  </si>
  <si>
    <t>RCC Grade M25</t>
  </si>
  <si>
    <t xml:space="preserve">Providing and laying steel reinforcement  at any level in foundation   complete   as   per   drawing   and   technical specification.  [MoRTH  Specification  :  Section  1600]._x000d_
HYSD bar reinforcement</t>
  </si>
  <si>
    <t xml:space="preserve">Structural cement concrete for plain concrete/ reinforced concrete for substructure at any level, complete as per drawing and technical specification._x000d_
Design mix concrete – [MoRTH Specification : Section 1500 &amp; 1700]._x000d_
RCC M-25 grade, including form work_x000d_
Upto 5 mtr. height</t>
  </si>
  <si>
    <t xml:space="preserve">Sub Structure Work </t>
  </si>
  <si>
    <t xml:space="preserve">Supplying,  fitting and placing HYSD bar reinforcement in sub-structure complete as per drawing and technical specifications </t>
  </si>
  <si>
    <t>Providing weep holes in Brick masonry/Plain/Reinforced concrete abutment,  wing wall/return wall with 100 mm dia AC pipe, extending through the full width of the structure with slope of 1V :20H towards drawing foce. Complete as per drawing and Technical specifications</t>
  </si>
  <si>
    <t>Rmt</t>
  </si>
  <si>
    <t>Back filling behind abutment, wing wall and return wall, in 150mm layers, with mechanical compaction, complete with all lead and lift, as per drawing and technical specification. [MoRTH Specification : Clause 304]. Gravelly Material</t>
  </si>
  <si>
    <t>Providing and laying of Filter media with granular materials/stone crushed aggregates satisfying the requirements laid down in clause 2504.2.2. of MoRTH specifications to a thickness of not less than 600 mm with smaller size towards the soil and bigger size towards the wall and provided over the entire surface behind abutment,  wing wall and return wall to the full height compacted to a firm condition complete as per drawing and technical specification.</t>
  </si>
  <si>
    <t xml:space="preserve">Structural RCC/PSC upto a height of 5 mtr. for reinforced concrete in superstructure complete including steel formwork, scaffolding etc. As per drawing and technical specification._x000d_
Design mix concrete. [MoRTH Specification : 1500  &amp; 1700]._x000d_
RCC M-30 grade Solid slab superstructure</t>
  </si>
  <si>
    <t xml:space="preserve">Superstructure Work </t>
  </si>
  <si>
    <t xml:space="preserve">a)     Supplying, fitting and placing HYSD bar reinforcement in super-structure complete as per drawing and technical specifications </t>
  </si>
  <si>
    <t>Providing and laying Cement concrete wearing coat M-30 grade including reinforcement complete as per drawing and Technical Specifications</t>
  </si>
  <si>
    <t>PCC M15 Grade leveling course below approach slab complete as per drawing and Technical specification</t>
  </si>
  <si>
    <t>Reinforced cement concrete approach slab including reinforcement and formwork complete as per drawing and Technical specification</t>
  </si>
  <si>
    <t>Providing &amp; fixing 20 mm thick compressible fibre board in expansion joint complete as per drawing &amp; Technical Specification.</t>
  </si>
  <si>
    <t>Providing and laying 12mm thick Bitumen Mastic wearing coat with bitumen of grade S35 as per Table 500-27, 10.2% by weight on prepared base including coarse aggregate as per table 500-29, and lime stone powder as filler, complete including tack coat. (MoRTH specification : Clause 515).</t>
  </si>
  <si>
    <t>Excavation in Soil using Hydraulic Excavator CK 90 and Tippers with disposal upto 1000 metres. (Excavation for roadwork in soil with hydraulic excavator of0.9 cum bucket capacity including cutting and loading in tippers, trimming bottom and side slopes, in accordance with requirements of lines, grades and cross sections, and transporting to the embankment location within all lifts and lead upto 1000m)</t>
  </si>
  <si>
    <t>Excavation in Ordinary Rock using Hydraulic ExcavatorCK-90 and Tippers with disposal upto 1000 metres. (Excavation for roadway in ordinary rock with hydraulic excavator of 0.9 cum bucket capacity including cutting and loading in tippers, transporting to embankment site within all lifts and lead upto 1000 m, trimming bottom and side slopes in accordance with requirements of lines, grades and cross sections.)</t>
  </si>
  <si>
    <t>Providing and Laying un-reinforced, dowel jointed, plain cement  concrete  pavement  over a prepared  sub-base with  43  grade   cement,   coarse   and   fine  aggregate conforming   to   IS:383,   maximum    size   of   coarse aggregate not exceeding 25mm,  mixed in a batching and   mixing   plant   as   per    approved    mix   design, transported  to  site,  laid  with  slip  form  paver,  spread, compacted   and   finished   in  a  continuous   operation  including      provision      of     contraction,      expansion, construction     and    longitudinal     joints,     joint     filler, separation   membrane,   sealant   primer,   joint   sealant, debonding  strip,  dowel  bar,  tie  rod,  admixtures  and vacuum    processing    pump    as    approved,    curing compound, finishing to lines and grades as per drawing as  per  MoRTH  Specification  :  Clause  No.  602,  112. Using Cement concrete M-30 pavement Grade</t>
  </si>
  <si>
    <t>Construction of RCC railing of M30 Grade in-situ with 20 mm nominal size aggregate,  true to line and grade,  tolurence of vertical RCC post not to exceed 1 in 500,  centre to centre spacing between vertical post not to exceed 2000 mm,  leaving adequate space between vertical post for expansion,  complete as per approved drawings and technical specifications.</t>
  </si>
  <si>
    <t>Providing   and   Erecting   typical   Citizens   Information Board  as  per  approved  drawing  &amp;   specification   of MoRD, made of two MS Sheet of 1.6 mm thick each of size 900 mm × 750 mm stiffened by angle iron 25 mm ×25 mm × 3 mm all around the plate and plates fixed on frame of 75 mm dia pipe of 12 SWG sheet (vertical post 3050  m  with  angle  holdfasts  and  horizontal  member 900 mm)  to be joined  by 5 mm thick  MS plate  at  12 places   (65   ×   50   mm)   duly   embedded   in   cement concrete M-15 grade of block of 600 mm × 600 mm × 750  mm  size  below  ground  level  as  per   enclosed drawings &amp; as directed by Engineering  - In-Charge. All MS  will  be  stove  enameled  on  both  side,  Lettering, figuring  and border  will be with  ready  mixed  synthetic enamel paint of superior  quality in required shade and colour  etc.  complete   in  all  respect.   All  sections   of framed post and  steel tube will be painted  with primer and two coat of epoxy paint as per drawing and as per MoRD specification.</t>
  </si>
  <si>
    <t>Each</t>
  </si>
  <si>
    <t>Supply of villege Name Board size 600x900 mm made out  of  1.25  mm  thick  M.S.  Sheet  duly  framed  with 30mm Outer Dia Mild Steel tube tightened with M.S. flat 12x3 mm fixed on two posts of size 40 mm ODMS tube 3M long whole board is processed in blue/white stoving enamel paint and white/red machine cut reflective sheet complete    in   all   respect   posts    duly   painted   with black/white synthetic enamel.</t>
  </si>
  <si>
    <t>Retro-Reflectorised  Traffic Signs Providing and fixing of retro-     reflectorised      cautionary,      mandatory     and informatory sign as per IRC :67 made of high intensity grade sheeting vide clause 801.3, fixed over aluminium sheeting, 1.5 mm thick supported on a mild steel angle iron post 75 mm x 75 mm x 6  mm firmly fixed to the ground by means of properly designed foundation  with M15 grade cement concrete 45 cm x 45 cm x 60 cm, 60 cm below ground level as per approved drawing 90 cm equilateral triangle</t>
  </si>
  <si>
    <t>Retro-Reflectorised  Traffic Signs Providing and fixing of retro-     reflectorised      cautionary,      mandatory     and informatory sign as per IRC :67 made of high intensity grade sheeting vide clause 801.3, fixed over aluminium sheeting, 1.5 mm thick supported on a mild steel angle iron post 75 mm x 75 mm x 6  mm firmly fixed to the ground by means of properly designed foundation  with M15 grade cement concrete 45 cm x 45 cm x 60 cm, 60 cm below ground level as per approved drawing 60 cm equilateral triangle</t>
  </si>
  <si>
    <t xml:space="preserve">Raised  Pavment  Marker  ( Cats Eyes):  Supplying   and Fixing  of  Molded  Shank  Raised  Pavement  Markers made  of  polycarbonate  and  ABS  moulded  body  and reflective  panels  with  micro  prismatic  lens  capable  of providing total internal reflection of the light entering the lens face and shall support a load of 16000 kg tested in accordance to ASTM D 4280 Type H and complying to Specifications  of  Category A  of  MORTH  Circular  No RW/NH/33023/10-97   –  DO  III  Dt  11.06.  1997.  The height, width and length shall not exceed 50  mm, 100 mm and 100 mm and with minimum  reflective  area of_x000d_
13 Sqcm on each side and the slope to the base shall be 35 +/- 5 degree.  The strength of detachment of the integrated cylindrical shanks, (of diameter not less than_x000d_
19 +/- 2 mm and height not less than 30+/- 2 mm) from the body is to be a minimum  value of 700  Kgf.  Fixing will be by drilling holes on the road for the shanks to go inside,  without  nails  and  using   epoxy   resin   based adhesive  as  per  manufacturer’s  recommendation and complete as  directed  by the engineer.  The contractor shall  submit  2 years  pre  qualified  warranty  certificate from the manufacturer for satisfactory field performance</t>
  </si>
  <si>
    <t>Road    Marking    with    Hot    Applied    Thermoplastic Compound    with    Reflectorising    Glass    Beads    on Bituminous  Surface Providing and laying of hot applied thermoplastic    compound    2.5    mm    thick    including reflectorising  glass  beads  @ 250  gms  per  sqm  area, thickness  of  2.5  mm  is  exclusive  of  surface  applied glass beads as per IRC:35 .The finished surface to be level, uniform and free from streaks and holes.</t>
  </si>
  <si>
    <t xml:space="preserve"> Sqm</t>
  </si>
  <si>
    <t>Per Sqm</t>
  </si>
  <si>
    <t xml:space="preserve">Providing   and   laying   graded   stone   aggregate   filter Material underneath pitching on slopes complete as per drawing     and     technical      specification.      (MoRTH_x000d_
specification : clause 2504).</t>
  </si>
  <si>
    <t xml:space="preserve"> Cum</t>
  </si>
  <si>
    <t>Per Cum</t>
  </si>
  <si>
    <t>Providing   and   laying   pitching   on   slopes   laid   over prepared filter media including boulder apron laid dry in front  of  toe  of  embankment  complete  as  per  drawing and   technical   specifications.   (MoRTH   specification: Clause 2504 &amp; 1700). With  R.R.  stone,  weighing  not less than 40 kg thickness not less than 150mm (specific gravity not less than 2.65)</t>
  </si>
  <si>
    <t xml:space="preserve">Providing and laying Reinforced cement concrete pipes NP-3  for  culverts  including   jointing  ends   and  fixing collar with cement mortar 1:2. (MoRTH  specification  :_x000d_
clause 1000/2900). 1000 mm dia</t>
  </si>
  <si>
    <t xml:space="preserve"> RM</t>
  </si>
  <si>
    <t>Per RM</t>
  </si>
  <si>
    <t xml:space="preserve">Providing and laying Reinforced cement concrete pipes NP-3  for  culverts  including   jointing  ends   and  fixing collar with cement mortar 1:2. (MoRTH  specification  :_x000d_
clause 1000/2900). 600 mm dia</t>
  </si>
  <si>
    <t xml:space="preserve">Providing and laying Reinforced cement concrete pipes NP-3  for  culverts  including   jointing  ends   and  fixing collar with cement mortar 1:2. (MoRTH  specification  :_x000d_
clause 1000/2900). 300 mm dia</t>
  </si>
  <si>
    <t>Total  =&gt;</t>
  </si>
  <si>
    <t xml:space="preserve">DETAILED - ESTIMATE </t>
  </si>
  <si>
    <t xml:space="preserve">Details </t>
  </si>
  <si>
    <t>BRIDGE WORK</t>
  </si>
  <si>
    <t>FOUNDATION WORK</t>
  </si>
  <si>
    <t xml:space="preserve">B-1_x000d_
1.1.4</t>
  </si>
  <si>
    <t xml:space="preserve">In ordinary soil BY MECHANICAL MEANS_x000d_
Depth upto 3m</t>
  </si>
  <si>
    <t xml:space="preserve">Abutment </t>
  </si>
  <si>
    <t>Total:-</t>
  </si>
  <si>
    <t xml:space="preserve">B-1_x000d_
1.1.5</t>
  </si>
  <si>
    <t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ordinary soil [MoRTH Specification : clause 301] BY MECHANICAL MEANS_x000d_
Above 3m to 6m depth </t>
  </si>
  <si>
    <t>Pier</t>
  </si>
  <si>
    <t>1.3.2</t>
  </si>
  <si>
    <t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Ordinary/Soft rock (not requiring blasting) [MoRTH Specification : Clause 301]. BY MECHANICAL MEANS</t>
  </si>
  <si>
    <t>Bed Protection Wall at U/S</t>
  </si>
  <si>
    <t>Bed Protection Wall at D/S</t>
  </si>
  <si>
    <t>1.4.1</t>
  </si>
  <si>
    <t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Hard Rock [MoRTH Specification : Clause 301, 302, 303]. Requiring Blasting</t>
  </si>
  <si>
    <t xml:space="preserve">B-2_x000d_
_x000d_
6.3</t>
  </si>
  <si>
    <t xml:space="preserve">Structural cement concrete (Design Mix) in open foundations, with form work, at any level. Cement concrete for plain/reinforced concrete in open foundations as per drawing and technical specification. [MoRTH Specification : Section 1700 &amp; 1500]. With 20mm nominal size aggregate_x000d_
P.C.C.  M-15 grade</t>
  </si>
  <si>
    <t>Annualar  Filling</t>
  </si>
  <si>
    <t>Deductions</t>
  </si>
  <si>
    <t xml:space="preserve">Pier Foundation </t>
  </si>
  <si>
    <t>Abutment Foundation</t>
  </si>
  <si>
    <t>Net Qty. :-</t>
  </si>
  <si>
    <t xml:space="preserve">B-2_x000d_
6.3</t>
  </si>
  <si>
    <t xml:space="preserve">Structural cement concrete (Design Mix) in open foundations, with form work, at any level. Cement concrete for plain/reinforced concrete in open foundations as per drawing and technical specification. [MoRTH Specification : Section 1700 &amp; 1500]. With 20mm nominal size aggregate_x000d_
P.C.C.  M-20 grade</t>
  </si>
  <si>
    <t>Abutment A1-A2</t>
  </si>
  <si>
    <t xml:space="preserve">B-2_x000d_
6.6</t>
  </si>
  <si>
    <t xml:space="preserve">Structural cement concrete (Design Mix) in open foundations, with form work, at any level. Cement concrete for plain/reinforced concrete in open foundations as per drawing and technical specification. [MoRTH Specification : Section 1700 &amp; 1500]. With 20mm nominal size aggregate_x000d_
R.C.C.  M-25 grade</t>
  </si>
  <si>
    <t>Abutment (Average thickness= (0.30+1.60)/2</t>
  </si>
  <si>
    <t>Bed Protection at U/S</t>
  </si>
  <si>
    <t>Bed Protection at D/S</t>
  </si>
  <si>
    <t xml:space="preserve">B-2_x000d_
13.3</t>
  </si>
  <si>
    <t xml:space="preserve">Providing and laying steel reinforcement at any level in foundation complete as per drawing and technical specification. [MoRTH Specification : Section 1600]._x000d_
TMT Bar </t>
  </si>
  <si>
    <t>1.50% RCC quantity</t>
  </si>
  <si>
    <t>(ii) SUB STRUCTURE WORK</t>
  </si>
  <si>
    <t xml:space="preserve">B-3_x000d_
5.2.1.1</t>
  </si>
  <si>
    <t xml:space="preserve">Piers (Average Height) </t>
  </si>
  <si>
    <t xml:space="preserve">Circular Section pier </t>
  </si>
  <si>
    <t xml:space="preserve">Pier Cap </t>
  </si>
  <si>
    <t xml:space="preserve">Abutment wall (Average Height) </t>
  </si>
  <si>
    <t xml:space="preserve">Abutment Cap </t>
  </si>
  <si>
    <t xml:space="preserve">Dirt wall </t>
  </si>
  <si>
    <t>Returns</t>
  </si>
  <si>
    <t xml:space="preserve">B-3_x000d_
9.3</t>
  </si>
  <si>
    <t xml:space="preserve">Steel reinforcement in substructure complete. [MoRTH Specification : Section 1600]. TMT Bars </t>
  </si>
  <si>
    <t>1.45% RCC quantity</t>
  </si>
  <si>
    <t xml:space="preserve">B-3_x000d_
15</t>
  </si>
  <si>
    <t>Providing A.C. pipe Weep holes 150mm dia in Masonry/plain Concrete/Reinforced Concrete abutment, wing wall/return wall complete as per drawing and technical specification. [MoRTH Specification : Clause 2205].</t>
  </si>
  <si>
    <t>Abutments</t>
  </si>
  <si>
    <t>Rm</t>
  </si>
  <si>
    <t xml:space="preserve">B-1_x000d_
3.1</t>
  </si>
  <si>
    <t xml:space="preserve">B-1_x000d_
4</t>
  </si>
  <si>
    <t>Filter medium behind abutment, wing wall and return wall, complete as per drawing and technical specification. (Same as R7.20.3) [MoRTH Specification : Clause 2504].</t>
  </si>
  <si>
    <t>Abutment</t>
  </si>
  <si>
    <t>Return</t>
  </si>
  <si>
    <t>(iii) SUPERSTRUCTURE</t>
  </si>
  <si>
    <t xml:space="preserve">B-4_x000d_
1.1.3</t>
  </si>
  <si>
    <t xml:space="preserve">Structural RCC/PSC upto a height of 5 mtr. for reinforced concrete in superstructure complete including steel formwork, scaffolding etc. As per drawing and technical specification._x000d_
Design mix concrete. [MoRTH Specification : 1500  &amp; 1700]._x000d_
RCC M-30 grade_x000d_
Solid slab superstructure</t>
  </si>
  <si>
    <t>Deck slab</t>
  </si>
  <si>
    <t>Circular section</t>
  </si>
  <si>
    <t>0.785 x0.75x0.75</t>
  </si>
  <si>
    <t>Guard Stones as per IRC SP 82-2008 PAGE 141</t>
  </si>
  <si>
    <t xml:space="preserve">B-4_x000d_
3</t>
  </si>
  <si>
    <t>Providing and laying TMT bar reinforcement at any level in superstructure complete as per drawing and technical Specification. [MoRTH Specification : Section 1600]</t>
  </si>
  <si>
    <t>In deck slab anchor 25 mm bars</t>
  </si>
  <si>
    <t xml:space="preserve">B-4_x000d_
5</t>
  </si>
  <si>
    <t>Reinforced cement concrete wearing coat M-30 grade at any level including formwork and reinforcement complete as per drawing and technical Specification. [MoRTH Specification : Clause 2204, 1500 &amp; 1700].</t>
  </si>
  <si>
    <t>Bridge length</t>
  </si>
  <si>
    <t xml:space="preserve">B-4_x000d_
16</t>
  </si>
  <si>
    <t>Providing and Laying PCC M-15 grade leveling course below approach slab complete as per drawing and technical specifications. [MoRTH specification : 2700]</t>
  </si>
  <si>
    <t xml:space="preserve">B-4_x000d_
17</t>
  </si>
  <si>
    <t>Reinforced cement concrete M-30 grade approach slab including reinforcement and formwork complete as per drawing and technical specifications. [MoRTH specification : 1500, 1600, 1700, 2704]</t>
  </si>
  <si>
    <t>Approch Slab</t>
  </si>
  <si>
    <t xml:space="preserve">B-4_x000d_
11.2</t>
  </si>
  <si>
    <t>Providing and fixing 20mm thick Compressible Fibre Board in expansion joint complete as per drawing and technical specification in MoRTH specification : clause 2605.</t>
  </si>
  <si>
    <t xml:space="preserve">Slab </t>
  </si>
  <si>
    <t xml:space="preserve">abutment </t>
  </si>
  <si>
    <t xml:space="preserve">(0.40+1.20)/2 x 8.00  </t>
  </si>
  <si>
    <t xml:space="preserve">B-4_x000d_
7</t>
  </si>
  <si>
    <t>Piers</t>
  </si>
  <si>
    <t xml:space="preserve">Approaches </t>
  </si>
  <si>
    <t xml:space="preserve">Earthwork in excavation in ordinary rock,  including stacking / disposal of surplus Material exclusive of compensation of earth._x000d_
By Hydraulic Excavator CK-90 of 0.9 cum bucket capacity and tipper with disposal upto 1000 mtrs.</t>
  </si>
  <si>
    <t>Qty. as per Sheet</t>
  </si>
  <si>
    <t>Qty. 60%Sheet</t>
  </si>
  <si>
    <t>Earthwork in excavation for roadway in hard rock,  including stacking / disposal of surplus Material exclusive of compensation of earth Requiring blasting</t>
  </si>
  <si>
    <t>Qty. 40%Sheet</t>
  </si>
  <si>
    <t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304]._x000d_
In ordinary soil [MoRTH Specification : clause 301] BY MECHANICAL MEANS_x000d_
Depth upto 3m</t>
  </si>
  <si>
    <t>Solid RCC Retatining Wall</t>
  </si>
  <si>
    <t>(0.35+0.85)/2</t>
  </si>
  <si>
    <t>1.5% RCC quantity</t>
  </si>
  <si>
    <t xml:space="preserve">R-7_x000d_
(2.3)</t>
  </si>
  <si>
    <t xml:space="preserve">Providing and Laying un-reinforced, dowel jointed, plain cement concrete pavement over a prepared sub-base with 43 grade cement, coarse and fine aggregate conforming to IS:383, maximum size of coarse aggregate not exceeding 25mm, mixed in a batching and mixing plant as per approved mix design, transported to site, laid with a fixed form or slip form paver, spread, compacted and finished in a continuous operation including provision of contraction, expansion, construction and longitudinal joints, joint filler, separation membrane, sealant primer, joint sealant, debonding strip, dowel bar, tie rod, admixtures and vacuum processing pump as approved, curing compound, finishing to lines and grades as per drawing as per MoRTH Specification : Clause No. 602, 112. Using Cement concrete M-30 pavement Grade </t>
  </si>
  <si>
    <t>up to RCC Retatining Wall</t>
  </si>
  <si>
    <t xml:space="preserve">Raised  Pavment  Marker  ( Cats Eyes):  Supplying   and Fixing  of  Molded  Shank  Raised  Pavement  Markers made  of  polycarbonate  and  ABS  moulded  body  and reflective  panels  with  micro  prismatic  lens  capable  of providing total internal reflection of the light entering the lens face and shall support a load of 16000 kg tested in accordance to ASTM D 4280 Type H and complying to Specifications  of  Category A  of  MORTH  Circular  No RW/NH/33023/10-97   –  DO  III  Dt  11.06.  1997.  The height, width and length shall not exceed 50  mm, 100 mm and 100 mm and with minimum  reflective  area of 13 Sqcm on each side and the slope to the base shall be 35 +/- 5 degree.  The strength of detachment of the integrated cylindrical shanks, (of diameter not less than_x000d_
19 +/- 2 mm and height not less than 30+/- 2 mm) from the body is to be a minimum  value of 700  Kgf.  Fixing will be by drilling holes on the road for the shanks to go inside,  without  nails  and  using   epoxy   resin   based adhesive  as  per  manufacturer’s  recommendation and complete as  directed  by the engineer.  The contractor shall  submit  2 years  pre  qualified  warranty  certificate from the manufacturer for satisfactory field performance</t>
  </si>
</sst>
</file>

<file path=xl/styles.xml><?xml version="1.0" encoding="utf-8"?>
<styleSheet xmlns="http://schemas.openxmlformats.org/spreadsheetml/2006/main" xmlns:vt="http://schemas.openxmlformats.org/officeDocument/2006/docPropsVTypes">
  <numFmts count="17">
    <numFmt numFmtId="43" formatCode="_(* #,##0.00_);_(* \(#,##0.00\);_(* &quot;-&quot;??_);_(@_)"/>
    <numFmt numFmtId="56" formatCode="&quot;上午/下午 &quot;hh&quot;時&quot;mm&quot;分&quot;ss&quot;秒 &quot;"/>
    <numFmt numFmtId="172" formatCode="0.0"/>
    <numFmt numFmtId="173" formatCode="0.000"/>
    <numFmt numFmtId="175" formatCode="0.0000"/>
    <numFmt numFmtId="180" formatCode="#,##0.000"/>
    <numFmt numFmtId="196" formatCode="_(* #,##0.000_);_(* \(#,##0.000\);_(* &quot;-&quot;??_);_(@_)"/>
    <numFmt numFmtId="199" formatCode="0\ &quot;t&quot;"/>
    <numFmt numFmtId="200" formatCode="0.00&quot; m&quot;"/>
    <numFmt numFmtId="201" formatCode="0.00\ &quot; m&quot;"/>
    <numFmt numFmtId="202" formatCode="0.0;[Red]0.0"/>
    <numFmt numFmtId="203" formatCode="0.00;[Red]0.00"/>
    <numFmt numFmtId="204" formatCode="0.000;[Red]0.000"/>
    <numFmt numFmtId="205" formatCode="0.0&quot;t&quot;"/>
    <numFmt numFmtId="206" formatCode="\c\g\ \ 0.0\ \t"/>
    <numFmt numFmtId="207" formatCode=".0\ \t"/>
    <numFmt numFmtId="208" formatCode="0.00&quot;m&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applyNumberFormat="1"/>
    <xf numFmtId="2" fontId="0" fillId="0" borderId="0" xfId="0" applyNumberFormat="1"/>
    <xf numFmtId="173" fontId="0" fillId="0" borderId="0" xfId="0" applyNumberFormat="1"/>
    <xf numFmtId="180" fontId="0" fillId="0" borderId="0" xfId="0" applyNumberFormat="1"/>
    <xf numFmtId="1" fontId="0" fillId="0" borderId="0" xfId="0" applyNumberFormat="1"/>
    <xf numFmtId="43" fontId="0" fillId="0" borderId="0" xfId="0" applyNumberFormat="1"/>
    <xf numFmtId="39" fontId="0" fillId="0" borderId="0" xfId="0" applyNumberFormat="1"/>
    <xf numFmtId="196" fontId="0" fillId="0" borderId="0" xfId="0" applyNumberFormat="1"/>
    <xf numFmtId="175" fontId="0" fillId="0" borderId="0" xfId="0" applyNumberFormat="1"/>
    <xf numFmtId="172" fontId="0" fillId="0" borderId="0" xfId="0" applyNumberFormat="1"/>
    <xf numFmtId="49" fontId="0" fillId="0" borderId="0" xfId="0" applyNumberFormat="1"/>
    <xf numFmtId="199" fontId="0" fillId="0" borderId="0" xfId="0" applyNumberFormat="1"/>
    <xf numFmtId="200" fontId="0" fillId="0" borderId="0" xfId="0" applyNumberFormat="1"/>
    <xf numFmtId="201" fontId="0" fillId="0" borderId="0" xfId="0" applyNumberFormat="1"/>
    <xf numFmtId="202" fontId="0" fillId="0" borderId="0" xfId="0" applyNumberFormat="1"/>
    <xf numFmtId="204" fontId="0" fillId="0" borderId="0" xfId="0" applyNumberFormat="1"/>
    <xf numFmtId="205" fontId="0" fillId="0" borderId="0" xfId="0" applyNumberFormat="1"/>
    <xf numFmtId="203" fontId="0" fillId="0" borderId="0" xfId="0" applyNumberFormat="1"/>
    <xf numFmtId="206" fontId="0" fillId="0" borderId="0" xfId="0" applyNumberFormat="1"/>
    <xf numFmtId="207" fontId="0" fillId="0" borderId="0" xfId="0" applyNumberFormat="1"/>
    <xf numFmtId="208" fontId="0" fillId="0" borderId="0" xfId="0" applyNumberFormat="1"/>
    <xf numFmtId="11"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sharedStrings" Target="sharedStrings.xml"/><Relationship Id="rId48" Type="http://schemas.openxmlformats.org/officeDocument/2006/relationships/theme" Target="theme/theme1.xml"/><Relationship Id="rId49" Type="http://schemas.openxmlformats.org/officeDocument/2006/relationships/styles" Target="styles.xml"/><Relationship Id="rId5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ï¼­ï¼³ ï¼°ã´ã·ã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dimension ref="A4:C27"/>
  <sheetViews>
    <sheetView workbookViewId="0" rightToLeft="0"/>
  </sheetViews>
  <cols>
    <col min="1" max="1" customWidth="1" width="5.7109375"/>
    <col min="2" max="2" customWidth="1" width="67.42578125"/>
    <col min="3" max="3" customWidth="1" width="7.7109375"/>
    <col min="4" max="4" customWidth="1" width="9.140625"/>
    <col min="5" max="5" customWidth="1" width="9.140625"/>
    <col min="6" max="6" customWidth="1" width="9.140625"/>
    <col min="7" max="7" customWidth="1" width="9.140625"/>
    <col min="8" max="8" customWidth="1" width="9.140625"/>
    <col min="9" max="9" customWidth="1" width="9.140625"/>
    <col min="10" max="10" customWidth="1" width="9.140625"/>
    <col min="11" max="11" customWidth="1" width="9.14062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4">
      <c r="A4" t="s">
        <v>0</v>
      </c>
    </row>
    <row r="5">
      <c r="A5" t="s">
        <v>1</v>
      </c>
    </row>
    <row r="6">
      <c r="A6" t="s">
        <v>2</v>
      </c>
    </row>
    <row r="8">
      <c r="A8" t="s">
        <v>3</v>
      </c>
      <c r="B8" t="s">
        <v>4</v>
      </c>
      <c r="C8" t="s">
        <v>5</v>
      </c>
    </row>
    <row r="9">
      <c r="A9">
        <v>1</v>
      </c>
      <c r="B9" t="s">
        <v>6</v>
      </c>
    </row>
    <row r="10">
      <c r="A10">
        <v>2</v>
      </c>
      <c r="B10" t="s">
        <v>7</v>
      </c>
    </row>
    <row r="11">
      <c r="A11">
        <v>3</v>
      </c>
      <c r="B11" t="s">
        <v>8</v>
      </c>
    </row>
    <row r="12">
      <c r="A12">
        <v>4</v>
      </c>
      <c r="B12" t="s">
        <v>9</v>
      </c>
    </row>
    <row r="13">
      <c r="A13">
        <v>5</v>
      </c>
      <c r="B13" t="s">
        <v>10</v>
      </c>
    </row>
    <row r="14">
      <c r="A14">
        <v>6</v>
      </c>
      <c r="B14" t="s">
        <v>11</v>
      </c>
    </row>
    <row r="15">
      <c r="A15">
        <v>7</v>
      </c>
      <c r="B15" t="s">
        <v>12</v>
      </c>
    </row>
    <row r="16">
      <c r="A16">
        <v>8</v>
      </c>
      <c r="B16" t="s">
        <v>13</v>
      </c>
    </row>
    <row r="17">
      <c r="A17">
        <v>9</v>
      </c>
      <c r="B17" t="s">
        <v>14</v>
      </c>
    </row>
    <row r="18">
      <c r="A18">
        <v>10</v>
      </c>
      <c r="B18" t="s">
        <v>15</v>
      </c>
    </row>
    <row r="19">
      <c r="A19">
        <v>11</v>
      </c>
      <c r="B19" t="s">
        <v>16</v>
      </c>
    </row>
    <row r="20">
      <c r="A20">
        <v>12</v>
      </c>
      <c r="B20" t="s">
        <v>17</v>
      </c>
    </row>
    <row r="21">
      <c r="A21">
        <v>13</v>
      </c>
      <c r="B21" t="s">
        <v>18</v>
      </c>
    </row>
    <row r="22">
      <c r="A22">
        <v>14</v>
      </c>
      <c r="B22" t="s">
        <v>19</v>
      </c>
    </row>
    <row r="23">
      <c r="A23">
        <v>15</v>
      </c>
      <c r="B23" t="s">
        <v>20</v>
      </c>
    </row>
    <row r="24">
      <c r="A24">
        <v>16</v>
      </c>
      <c r="B24" t="s">
        <v>21</v>
      </c>
    </row>
    <row r="25">
      <c r="A25">
        <v>17</v>
      </c>
      <c r="B25" t="s">
        <v>22</v>
      </c>
    </row>
    <row r="26">
      <c r="A26">
        <v>18</v>
      </c>
      <c r="B26" t="s">
        <v>23</v>
      </c>
    </row>
    <row r="27">
      <c r="A27">
        <v>19</v>
      </c>
      <c r="B27" t="s">
        <v>24</v>
      </c>
    </row>
  </sheetData>
  <mergeCells count="2">
    <mergeCell ref="A4:C4"/>
    <mergeCell ref="A6:C6"/>
  </mergeCells>
  <pageMargins left="0.7086614173228347" right="0.7086614173228347" top="0.7480314960629921" bottom="0.7480314960629921" header="0.31496062992125984" footer="0.31496062992125984"/>
  <ignoredErrors>
    <ignoredError numberStoredAsText="1" sqref="A4:C27"/>
  </ignoredErrors>
</worksheet>
</file>

<file path=xl/worksheets/sheet2.xml><?xml version="1.0" encoding="utf-8"?>
<worksheet xmlns="http://schemas.openxmlformats.org/spreadsheetml/2006/main" xmlns:r="http://schemas.openxmlformats.org/officeDocument/2006/relationships">
  <dimension ref="A1:B25"/>
  <sheetViews>
    <sheetView workbookViewId="0" rightToLeft="0"/>
  </sheetViews>
  <sheetData>
    <row r="1">
      <c r="A1" t="s">
        <v>25</v>
      </c>
    </row>
    <row r="2">
      <c r="A2" t="s">
        <v>26</v>
      </c>
    </row>
    <row r="4">
      <c r="A4" t="s">
        <v>27</v>
      </c>
    </row>
    <row r="5">
      <c r="A5" t="s">
        <v>28</v>
      </c>
      <c r="B5" t="s">
        <v>29</v>
      </c>
    </row>
    <row r="6">
      <c r="A6" t="s">
        <v>30</v>
      </c>
      <c r="B6" t="s">
        <v>31</v>
      </c>
    </row>
    <row r="8">
      <c r="A8" t="s">
        <v>32</v>
      </c>
    </row>
    <row r="9">
      <c r="A9" t="s">
        <v>33</v>
      </c>
    </row>
    <row r="11">
      <c r="A11" t="s">
        <v>34</v>
      </c>
    </row>
    <row r="12">
      <c r="A12" t="s">
        <v>35</v>
      </c>
      <c r="B12">
        <v>10</v>
      </c>
    </row>
    <row r="13">
      <c r="A13" t="s">
        <v>36</v>
      </c>
      <c r="B13">
        <v>12.5</v>
      </c>
    </row>
    <row r="14">
      <c r="A14" t="s">
        <v>37</v>
      </c>
      <c r="B14">
        <v>2</v>
      </c>
    </row>
    <row r="16">
      <c r="A16" t="s">
        <v>38</v>
      </c>
    </row>
    <row r="17">
      <c r="A17" t="s">
        <v>39</v>
      </c>
      <c r="B17">
        <v>200</v>
      </c>
    </row>
    <row r="18">
      <c r="A18" t="s">
        <v>40</v>
      </c>
      <c r="B18">
        <v>102.5</v>
      </c>
    </row>
    <row r="19">
      <c r="A19" t="s">
        <v>41</v>
      </c>
      <c r="B19">
        <v>98</v>
      </c>
    </row>
    <row r="20">
      <c r="A20" t="s">
        <v>42</v>
      </c>
      <c r="B20">
        <v>0.0008</v>
      </c>
    </row>
    <row r="22">
      <c r="A22" t="s">
        <v>43</v>
      </c>
    </row>
    <row r="23">
      <c r="A23" t="s">
        <v>44</v>
      </c>
      <c r="B23">
        <v>35</v>
      </c>
    </row>
    <row r="24">
      <c r="A24" t="s">
        <v>45</v>
      </c>
      <c r="B24">
        <v>500</v>
      </c>
    </row>
    <row r="25">
      <c r="A25" t="s">
        <v>46</v>
      </c>
      <c r="B25">
        <v>25</v>
      </c>
    </row>
  </sheetData>
  <pageMargins left="0.7" right="0.7" top="0.75" bottom="0.75" header="0.3" footer="0.3"/>
  <ignoredErrors>
    <ignoredError numberStoredAsText="1" sqref="A1:B25"/>
  </ignoredErrors>
</worksheet>
</file>

<file path=xl/worksheets/sheet3.xml><?xml version="1.0" encoding="utf-8"?>
<worksheet xmlns="http://schemas.openxmlformats.org/spreadsheetml/2006/main" xmlns:r="http://schemas.openxmlformats.org/officeDocument/2006/relationships">
  <dimension ref="A1:J88"/>
  <sheetViews>
    <sheetView workbookViewId="0" rightToLeft="0"/>
  </sheetViews>
  <cols>
    <col min="1" max="1" customWidth="1" width="40.85546875"/>
    <col min="2" max="2" customWidth="1" width="15.140625"/>
    <col min="3" max="3" customWidth="1" width="12.42578125"/>
    <col min="4" max="4" customWidth="1" width="9.85546875"/>
    <col min="7" max="7" customWidth="1" width="7.5703125"/>
    <col min="8" max="8" customWidth="1" width="40.5703125"/>
  </cols>
  <sheetData>
    <row r="1" ht="36" customHeight="1">
      <c r="A1" t="s">
        <v>47</v>
      </c>
    </row>
    <row r="2" ht="42.75" customHeight="1">
      <c r="A2" t="s">
        <v>48</v>
      </c>
    </row>
    <row r="3" ht="23.25" customHeight="1">
      <c r="A3" t="s">
        <v>49</v>
      </c>
    </row>
    <row r="4" ht="21.75" customHeight="1">
      <c r="A4" t="s">
        <v>50</v>
      </c>
      <c r="C4">
        <v>1</v>
      </c>
      <c r="D4" t="s">
        <v>51</v>
      </c>
    </row>
    <row r="5" ht="15" customHeight="1">
      <c r="A5" t="s">
        <v>52</v>
      </c>
      <c r="B5" t="s">
        <v>53</v>
      </c>
      <c r="C5" t="s">
        <v>54</v>
      </c>
      <c r="F5" t="s">
        <v>55</v>
      </c>
    </row>
    <row r="6" ht="18" customHeight="1">
      <c r="A6" t="s">
        <v>56</v>
      </c>
      <c r="B6" t="s">
        <v>53</v>
      </c>
      <c r="C6" s="1">
        <f>HYDRAULICS!$C$29</f>
        <v>490.3000000000011</v>
      </c>
      <c r="D6" t="s">
        <v>57</v>
      </c>
      <c r="G6" t="s">
        <v>58</v>
      </c>
      <c r="H6" t="s">
        <v>59</v>
      </c>
    </row>
    <row r="7" ht="15" customHeight="1">
      <c r="A7" t="s">
        <v>60</v>
      </c>
      <c r="B7" t="s">
        <v>53</v>
      </c>
      <c r="C7" s="1">
        <f>HYDRAULICS!$C$30</f>
        <v>190.70731489786334</v>
      </c>
      <c r="D7" t="s">
        <v>61</v>
      </c>
      <c r="G7" t="s">
        <v>62</v>
      </c>
      <c r="H7" t="s">
        <v>63</v>
      </c>
    </row>
    <row r="8" ht="15" customHeight="1">
      <c r="A8" t="s">
        <v>64</v>
      </c>
      <c r="B8" t="s">
        <v>53</v>
      </c>
      <c r="C8">
        <v>1</v>
      </c>
      <c r="D8" t="s">
        <v>65</v>
      </c>
      <c r="E8">
        <f>HYDRAULICS!$C$33</f>
        <v>960</v>
      </c>
      <c r="G8" t="s">
        <v>66</v>
      </c>
      <c r="H8" t="s">
        <v>67</v>
      </c>
    </row>
    <row r="9" ht="15" customHeight="1">
      <c r="H9" t="s">
        <v>68</v>
      </c>
    </row>
    <row r="10" ht="15" customHeight="1">
      <c r="A10" t="s">
        <v>69</v>
      </c>
      <c r="B10" t="s">
        <v>53</v>
      </c>
      <c r="C10">
        <f>HYDRAULICS!$C$32</f>
        <v>0.033</v>
      </c>
      <c r="G10" t="s">
        <v>70</v>
      </c>
      <c r="H10" t="s">
        <v>71</v>
      </c>
    </row>
    <row r="11" ht="15" customHeight="1">
      <c r="H11" t="s">
        <v>72</v>
      </c>
    </row>
    <row r="12" ht="15" customHeight="1">
      <c r="A12" t="s">
        <v>73</v>
      </c>
      <c r="B12" t="s">
        <v>53</v>
      </c>
      <c r="C12" t="s">
        <v>74</v>
      </c>
      <c r="G12" t="s">
        <v>75</v>
      </c>
      <c r="H12" t="s">
        <v>76</v>
      </c>
    </row>
    <row r="13" ht="18" customHeight="1">
      <c r="A13" t="s">
        <v>77</v>
      </c>
      <c r="B13" t="s">
        <v>53</v>
      </c>
      <c r="C13">
        <f>ROUNDUP(1/C10*((C6/C7)^(2/3)*(1/E8)^0.5),2)</f>
        <v>1.84</v>
      </c>
      <c r="D13" t="s">
        <v>78</v>
      </c>
    </row>
    <row r="14" ht="15" customHeight="1">
      <c r="A14" t="s">
        <v>52</v>
      </c>
      <c r="B14" t="s">
        <v>53</v>
      </c>
      <c r="C14" s="1">
        <f>ROUND(C6*C13,2)</f>
        <v>902.15</v>
      </c>
      <c r="D14" t="s">
        <v>79</v>
      </c>
    </row>
    <row r="15" ht="21.75" customHeight="1">
      <c r="A15" t="s">
        <v>80</v>
      </c>
    </row>
    <row r="16" ht="15" customHeight="1">
      <c r="A16" t="s">
        <v>81</v>
      </c>
      <c r="C16" t="s">
        <v>82</v>
      </c>
      <c r="D16" t="s">
        <v>83</v>
      </c>
      <c r="E16" t="s">
        <v>84</v>
      </c>
    </row>
    <row r="17" ht="15" customHeight="1">
      <c r="B17" t="s">
        <v>53</v>
      </c>
      <c r="C17">
        <f>ROUNDUP(4.8*(C14)^0.5,2)</f>
        <v>144.17999999999998</v>
      </c>
      <c r="D17" t="s">
        <v>85</v>
      </c>
    </row>
    <row r="18" ht="15" customHeight="1">
      <c r="A18" t="s">
        <v>86</v>
      </c>
      <c r="C18">
        <v>12</v>
      </c>
      <c r="D18" t="s">
        <v>87</v>
      </c>
      <c r="F18">
        <v>8</v>
      </c>
      <c r="G18" t="s">
        <v>88</v>
      </c>
    </row>
    <row r="19" ht="15" customHeight="1">
      <c r="A19" t="s">
        <v>89</v>
      </c>
    </row>
    <row r="20" ht="15" customHeight="1">
      <c r="A20" t="s">
        <v>90</v>
      </c>
      <c r="B20">
        <f>C18</f>
        <v>12</v>
      </c>
      <c r="C20" t="s">
        <v>91</v>
      </c>
      <c r="D20">
        <f>F18</f>
        <v>8</v>
      </c>
      <c r="E20" t="s">
        <v>53</v>
      </c>
      <c r="F20">
        <f>B20*D20</f>
        <v>96</v>
      </c>
      <c r="G20" t="s">
        <v>92</v>
      </c>
    </row>
    <row r="21" ht="15" customHeight="1">
      <c r="E21" t="s">
        <v>93</v>
      </c>
      <c r="F21">
        <f>SUM(F20:F20)</f>
        <v>96</v>
      </c>
      <c r="G21" t="s">
        <v>92</v>
      </c>
    </row>
    <row r="22" ht="21.75" customHeight="1">
      <c r="A22" t="s">
        <v>94</v>
      </c>
    </row>
    <row r="23" ht="15" customHeight="1">
      <c r="A23" t="s">
        <v>95</v>
      </c>
    </row>
    <row r="24" ht="18" customHeight="1">
      <c r="A24" t="s">
        <v>96</v>
      </c>
      <c r="B24" t="s">
        <v>97</v>
      </c>
      <c r="F24" t="s">
        <v>55</v>
      </c>
    </row>
    <row r="25" ht="15" customHeight="1">
      <c r="E25" t="s">
        <v>98</v>
      </c>
      <c r="F25" t="s">
        <v>53</v>
      </c>
      <c r="G25" t="s">
        <v>99</v>
      </c>
    </row>
    <row r="26" ht="15" customHeight="1">
      <c r="E26" t="s">
        <v>100</v>
      </c>
      <c r="F26" t="s">
        <v>53</v>
      </c>
      <c r="G26" t="s">
        <v>101</v>
      </c>
    </row>
    <row r="27" ht="15" customHeight="1">
      <c r="E27" t="s">
        <v>1</v>
      </c>
      <c r="F27" t="s">
        <v>53</v>
      </c>
      <c r="G27">
        <v>1.5</v>
      </c>
    </row>
    <row r="28" ht="15" customHeight="1">
      <c r="A28" t="s">
        <v>102</v>
      </c>
      <c r="B28" t="s">
        <v>53</v>
      </c>
      <c r="C28" t="s">
        <v>103</v>
      </c>
    </row>
    <row r="29" ht="15" customHeight="1">
      <c r="A29" t="s">
        <v>53</v>
      </c>
      <c r="B29" s="1">
        <f>C18*F18-1.2</f>
        <v>94.8</v>
      </c>
      <c r="C29" t="s">
        <v>104</v>
      </c>
      <c r="D29">
        <f>B20-1</f>
        <v>11</v>
      </c>
      <c r="E29" t="s">
        <v>91</v>
      </c>
      <c r="F29">
        <v>1.2</v>
      </c>
      <c r="G29" t="s">
        <v>105</v>
      </c>
    </row>
    <row r="30" ht="15" customHeight="1">
      <c r="A30" t="s">
        <v>53</v>
      </c>
      <c r="B30" s="1">
        <f>B29-(D29*F29)</f>
        <v>81.6</v>
      </c>
      <c r="C30" t="s">
        <v>85</v>
      </c>
    </row>
    <row r="31" ht="15" customHeight="1">
      <c r="A31" t="s">
        <v>98</v>
      </c>
      <c r="B31" t="s">
        <v>106</v>
      </c>
      <c r="C31" s="1">
        <f>ROUND(C14,2)</f>
        <v>902.15</v>
      </c>
      <c r="D31" t="s">
        <v>107</v>
      </c>
      <c r="E31" s="1">
        <f>B30</f>
        <v>81.6</v>
      </c>
    </row>
    <row r="32" ht="15" customHeight="1">
      <c r="B32" t="s">
        <v>53</v>
      </c>
      <c r="C32">
        <f>ROUNDUP(C31/E31,2)</f>
        <v>11.06</v>
      </c>
      <c r="D32" t="s">
        <v>108</v>
      </c>
    </row>
    <row r="33" ht="15" customHeight="1">
      <c r="A33" t="s">
        <v>96</v>
      </c>
      <c r="B33" s="1">
        <f>ROUNDUP(1.34* (C32^2 /G27)^(1/3),2)</f>
        <v>5.819999999999999</v>
      </c>
      <c r="C33" t="s">
        <v>85</v>
      </c>
    </row>
    <row r="34" ht="47.25" customHeight="1">
      <c r="A34" t="s">
        <v>109</v>
      </c>
    </row>
    <row r="35" ht="21.75" customHeight="1">
      <c r="A35" t="s">
        <v>110</v>
      </c>
    </row>
    <row r="36" ht="15" customHeight="1">
      <c r="A36" t="s">
        <v>111</v>
      </c>
    </row>
    <row r="37" ht="15" customHeight="1">
      <c r="A37" t="s">
        <v>112</v>
      </c>
    </row>
    <row r="38" ht="15" customHeight="1">
      <c r="A38" t="s">
        <v>113</v>
      </c>
      <c r="B38" t="s">
        <v>114</v>
      </c>
    </row>
    <row r="39" ht="15" customHeight="1">
      <c r="A39" t="s">
        <v>115</v>
      </c>
    </row>
    <row r="40" ht="15" customHeight="1">
      <c r="A40" t="s">
        <v>116</v>
      </c>
      <c r="B40" t="s">
        <v>53</v>
      </c>
      <c r="C40" t="s">
        <v>117</v>
      </c>
    </row>
    <row r="41" ht="15" customHeight="1">
      <c r="A41" t="s">
        <v>118</v>
      </c>
      <c r="B41" t="s">
        <v>53</v>
      </c>
      <c r="C41" t="s">
        <v>119</v>
      </c>
    </row>
    <row r="42" ht="18" customHeight="1">
      <c r="A42" t="s">
        <v>56</v>
      </c>
      <c r="B42" t="s">
        <v>53</v>
      </c>
      <c r="C42" t="s">
        <v>120</v>
      </c>
    </row>
    <row r="43" ht="18" customHeight="1">
      <c r="A43" t="s">
        <v>121</v>
      </c>
      <c r="B43" t="s">
        <v>53</v>
      </c>
      <c r="C43" t="s">
        <v>122</v>
      </c>
    </row>
    <row r="44" ht="15" customHeight="1">
      <c r="A44" t="s">
        <v>123</v>
      </c>
    </row>
    <row r="45" ht="15" customHeight="1">
      <c r="A45" t="s">
        <v>124</v>
      </c>
      <c r="C45" s="2">
        <f>B52</f>
        <v>94.8</v>
      </c>
      <c r="D45" t="s">
        <v>91</v>
      </c>
      <c r="E45" s="1">
        <f>B50-B59</f>
        <v>5</v>
      </c>
      <c r="F45" t="s">
        <v>53</v>
      </c>
      <c r="G45">
        <f>C45*E45</f>
        <v>474</v>
      </c>
      <c r="H45" t="s">
        <v>57</v>
      </c>
    </row>
    <row r="46" ht="15" customHeight="1">
      <c r="A46" t="s">
        <v>56</v>
      </c>
      <c r="B46" t="s">
        <v>53</v>
      </c>
      <c r="C46" s="1">
        <f>'CROSS SECTION'!F27</f>
        <v>490.3000000000011</v>
      </c>
      <c r="D46" t="s">
        <v>57</v>
      </c>
    </row>
    <row r="47" ht="15" customHeight="1">
      <c r="A47" t="s">
        <v>73</v>
      </c>
      <c r="B47" t="s">
        <v>53</v>
      </c>
      <c r="C47">
        <f>C13</f>
        <v>1.84</v>
      </c>
      <c r="D47" t="s">
        <v>78</v>
      </c>
    </row>
    <row r="48" ht="15.75" customHeight="1">
      <c r="A48" t="s">
        <v>125</v>
      </c>
    </row>
    <row r="49" ht="15" customHeight="1">
      <c r="A49" t="s">
        <v>126</v>
      </c>
      <c r="B49" s="2">
        <f>HYDRAULICS!$F$4</f>
        <v>100.6</v>
      </c>
      <c r="C49" t="s">
        <v>85</v>
      </c>
    </row>
    <row r="50" ht="15" customHeight="1">
      <c r="A50" t="s">
        <v>127</v>
      </c>
      <c r="B50" s="2">
        <f>HYDRAULICS!E40</f>
        <v>101.6</v>
      </c>
      <c r="C50" t="s">
        <v>85</v>
      </c>
    </row>
    <row r="51" ht="15" customHeight="1">
      <c r="A51" t="s">
        <v>128</v>
      </c>
      <c r="B51" s="2">
        <v>0.83</v>
      </c>
      <c r="C51" t="s">
        <v>85</v>
      </c>
    </row>
    <row r="52" ht="15" customHeight="1">
      <c r="A52" t="s">
        <v>129</v>
      </c>
      <c r="B52" s="2">
        <f>B29</f>
        <v>94.8</v>
      </c>
      <c r="C52" t="s">
        <v>85</v>
      </c>
    </row>
    <row r="53" ht="15" customHeight="1">
      <c r="A53" t="s">
        <v>130</v>
      </c>
      <c r="B53" s="2">
        <f>B51</f>
        <v>0.83</v>
      </c>
      <c r="C53" t="s">
        <v>85</v>
      </c>
    </row>
    <row r="54" ht="15" customHeight="1">
      <c r="A54" t="s">
        <v>131</v>
      </c>
      <c r="B54" s="2">
        <f>B52</f>
        <v>94.8</v>
      </c>
      <c r="C54" t="s">
        <v>91</v>
      </c>
      <c r="D54" s="1">
        <f>B53</f>
        <v>0.83</v>
      </c>
    </row>
    <row r="55" ht="15" customHeight="1">
      <c r="B55" t="s">
        <v>53</v>
      </c>
      <c r="C55" s="1">
        <f>B54*D54</f>
        <v>78.684</v>
      </c>
      <c r="D55" t="s">
        <v>57</v>
      </c>
    </row>
    <row r="56" ht="15.75" customHeight="1">
      <c r="A56" t="s">
        <v>132</v>
      </c>
    </row>
    <row r="57" ht="15" customHeight="1">
      <c r="A57" t="s">
        <v>126</v>
      </c>
      <c r="B57" s="2">
        <f>HYDRAULICS!$F$4</f>
        <v>100.6</v>
      </c>
      <c r="C57" t="s">
        <v>85</v>
      </c>
    </row>
    <row r="58" ht="15" customHeight="1">
      <c r="A58" t="s">
        <v>133</v>
      </c>
      <c r="B58" s="2">
        <f>B50-B51</f>
        <v>100.77</v>
      </c>
      <c r="C58" t="s">
        <v>85</v>
      </c>
    </row>
    <row r="59" ht="15" customHeight="1">
      <c r="A59" t="s">
        <v>134</v>
      </c>
      <c r="B59" s="2">
        <f>HYDRAULICS!E41</f>
        <v>96.6</v>
      </c>
      <c r="C59" t="s">
        <v>85</v>
      </c>
    </row>
    <row r="60" ht="15" customHeight="1">
      <c r="A60" t="s">
        <v>135</v>
      </c>
      <c r="B60" t="s">
        <v>53</v>
      </c>
      <c r="C60">
        <f>D29</f>
        <v>11</v>
      </c>
    </row>
    <row r="61" ht="15" customHeight="1">
      <c r="A61" t="s">
        <v>130</v>
      </c>
      <c r="B61" s="2">
        <f>B57</f>
        <v>100.6</v>
      </c>
      <c r="C61" t="s">
        <v>136</v>
      </c>
      <c r="D61" s="2">
        <f>B59</f>
        <v>96.6</v>
      </c>
      <c r="E61" t="s">
        <v>53</v>
      </c>
      <c r="F61" s="2">
        <f>B61-D61</f>
        <v>4</v>
      </c>
      <c r="G61" t="s">
        <v>85</v>
      </c>
    </row>
    <row r="62" ht="15" customHeight="1">
      <c r="A62" t="s">
        <v>137</v>
      </c>
      <c r="B62">
        <f>F29</f>
        <v>1.2</v>
      </c>
      <c r="C62" t="s">
        <v>91</v>
      </c>
      <c r="D62" s="1">
        <f>F61</f>
        <v>4</v>
      </c>
    </row>
    <row r="63" ht="15" customHeight="1">
      <c r="B63" t="s">
        <v>53</v>
      </c>
      <c r="C63">
        <f>B62*D62</f>
        <v>4.8</v>
      </c>
      <c r="D63" t="s">
        <v>57</v>
      </c>
    </row>
    <row r="64" ht="15" customHeight="1">
      <c r="A64" t="s">
        <f>CONCATENATE("For ",C60," Nos. of piers = ")</f>
        <v>138</v>
      </c>
      <c r="B64">
        <f>C60</f>
        <v>11</v>
      </c>
      <c r="C64" t="s">
        <v>91</v>
      </c>
      <c r="D64">
        <f>C63</f>
        <v>4.8</v>
      </c>
    </row>
    <row r="65" ht="15" customHeight="1">
      <c r="A65" t="s">
        <v>139</v>
      </c>
      <c r="B65" t="s">
        <v>53</v>
      </c>
      <c r="C65" s="1">
        <f>B64*D64</f>
        <v>52.8</v>
      </c>
      <c r="D65" t="s">
        <v>57</v>
      </c>
    </row>
    <row r="66" ht="15.75" customHeight="1">
      <c r="A66" t="s">
        <v>140</v>
      </c>
    </row>
    <row r="67" ht="15" customHeight="1">
      <c r="A67" t="s">
        <v>141</v>
      </c>
      <c r="B67" s="2">
        <f>B59</f>
        <v>96.6</v>
      </c>
      <c r="C67" t="s">
        <v>85</v>
      </c>
    </row>
    <row r="68" ht="15" customHeight="1">
      <c r="A68" t="s">
        <v>130</v>
      </c>
      <c r="B68" s="2">
        <f>B57</f>
        <v>100.6</v>
      </c>
      <c r="C68" t="s">
        <v>53</v>
      </c>
      <c r="D68" s="2">
        <f>B67</f>
        <v>96.6</v>
      </c>
      <c r="E68" t="s">
        <v>53</v>
      </c>
      <c r="F68" s="2">
        <f>B68-D68</f>
        <v>4</v>
      </c>
      <c r="G68" t="s">
        <v>85</v>
      </c>
    </row>
    <row r="69" ht="15" customHeight="1">
      <c r="A69" t="s">
        <v>142</v>
      </c>
      <c r="B69" t="s">
        <v>143</v>
      </c>
      <c r="C69" t="s">
        <v>91</v>
      </c>
      <c r="D69" s="1">
        <f>F68</f>
        <v>4</v>
      </c>
    </row>
    <row r="70" ht="15" customHeight="1">
      <c r="B70" t="s">
        <v>53</v>
      </c>
      <c r="C70" s="1">
        <f>(0.4+0.75)/2*D69</f>
        <v>2.3</v>
      </c>
      <c r="D70" t="s">
        <v>57</v>
      </c>
    </row>
    <row r="71" ht="15" customHeight="1">
      <c r="A71" t="s">
        <v>144</v>
      </c>
      <c r="B71">
        <v>2</v>
      </c>
      <c r="C71" t="s">
        <v>91</v>
      </c>
      <c r="D71" s="1">
        <f>C70</f>
        <v>2.3</v>
      </c>
    </row>
    <row r="72" ht="15" customHeight="1">
      <c r="B72" t="s">
        <v>53</v>
      </c>
      <c r="C72" s="1">
        <f>B71*D71</f>
        <v>4.6</v>
      </c>
      <c r="D72" t="s">
        <v>57</v>
      </c>
    </row>
    <row r="73" ht="30" customHeight="1">
      <c r="A73" t="s">
        <v>145</v>
      </c>
      <c r="B73" t="s">
        <v>146</v>
      </c>
      <c r="C73" t="s">
        <v>147</v>
      </c>
    </row>
    <row r="74" ht="15" customHeight="1">
      <c r="B74" t="s">
        <v>53</v>
      </c>
      <c r="C74" s="1">
        <f>C55</f>
        <v>78.684</v>
      </c>
      <c r="D74" t="s">
        <v>148</v>
      </c>
      <c r="E74" s="1">
        <f>C65</f>
        <v>52.8</v>
      </c>
      <c r="F74" t="s">
        <v>148</v>
      </c>
      <c r="G74" s="1">
        <f>C72</f>
        <v>4.6</v>
      </c>
    </row>
    <row r="75" ht="15" customHeight="1">
      <c r="B75" t="s">
        <v>53</v>
      </c>
      <c r="C75" s="1">
        <f>C74+E74+G74</f>
        <v>136.08399999999997</v>
      </c>
      <c r="D75" t="s">
        <v>57</v>
      </c>
    </row>
    <row r="76" ht="15" customHeight="1">
      <c r="A76" t="s">
        <v>149</v>
      </c>
      <c r="B76" s="2">
        <f>G45</f>
        <v>474</v>
      </c>
      <c r="C76" t="s">
        <v>136</v>
      </c>
      <c r="D76" s="1">
        <f>C75</f>
        <v>136.08399999999997</v>
      </c>
    </row>
    <row r="77" ht="15" customHeight="1">
      <c r="B77" t="s">
        <v>53</v>
      </c>
      <c r="C77" s="1">
        <f>B76-D76</f>
        <v>337.91600000000005</v>
      </c>
      <c r="D77" t="s">
        <v>57</v>
      </c>
    </row>
    <row r="78" ht="15" customHeight="1">
      <c r="A78" t="s">
        <v>113</v>
      </c>
      <c r="B78">
        <f>ROUNDUP(((C13^2/17.85)+0.0152)*((C46/C77)^2-1),2)</f>
        <v>0.23</v>
      </c>
      <c r="C78" t="s">
        <v>85</v>
      </c>
    </row>
    <row r="79" ht="15" customHeight="1">
      <c r="A79" t="s">
        <v>150</v>
      </c>
      <c r="B79" s="2">
        <f>B57</f>
        <v>100.6</v>
      </c>
      <c r="C79" t="s">
        <v>148</v>
      </c>
      <c r="D79">
        <f>B78</f>
        <v>0.23</v>
      </c>
      <c r="E79" t="s">
        <v>53</v>
      </c>
      <c r="F79" s="2">
        <f>B79+D79</f>
        <v>100.83</v>
      </c>
      <c r="G79" t="s">
        <v>85</v>
      </c>
    </row>
    <row r="80" ht="15" customHeight="1">
      <c r="A80" t="s">
        <v>151</v>
      </c>
      <c r="B80" t="s">
        <v>73</v>
      </c>
      <c r="C80" t="s">
        <v>53</v>
      </c>
      <c r="D80" t="s">
        <v>152</v>
      </c>
      <c r="E80" s="1" t="s">
        <f>C76</f>
        <v>136</v>
      </c>
    </row>
    <row r="81" ht="15" customHeight="1">
      <c r="A81" t="s">
        <v>151</v>
      </c>
      <c r="B81" t="s">
        <v>53</v>
      </c>
      <c r="C81">
        <f>C14</f>
        <v>902.15</v>
      </c>
      <c r="D81" t="s">
        <v>107</v>
      </c>
      <c r="E81" s="1">
        <f>C77</f>
        <v>337.91600000000005</v>
      </c>
    </row>
    <row r="82" ht="15" customHeight="1">
      <c r="B82" t="s">
        <v>53</v>
      </c>
      <c r="C82">
        <f>ROUNDUP(C81/E81,2)</f>
        <v>2.67</v>
      </c>
      <c r="D82" t="s">
        <v>153</v>
      </c>
    </row>
    <row r="83" ht="15" customHeight="1">
      <c r="A83" t="s">
        <v>154</v>
      </c>
      <c r="B83" s="1">
        <f>C82</f>
        <v>2.67</v>
      </c>
      <c r="C83" t="s">
        <v>155</v>
      </c>
    </row>
    <row r="84" ht="18" customHeight="1">
      <c r="A84" t="s">
        <v>156</v>
      </c>
      <c r="B84" t="s">
        <v>53</v>
      </c>
      <c r="C84" s="2">
        <f>F79</f>
        <v>100.83</v>
      </c>
      <c r="D84" t="s">
        <v>92</v>
      </c>
    </row>
    <row r="85" ht="18" customHeight="1">
      <c r="A85" t="s">
        <v>157</v>
      </c>
      <c r="B85" t="s">
        <v>53</v>
      </c>
      <c r="C85" s="2">
        <f>B50</f>
        <v>101.6</v>
      </c>
      <c r="D85" t="s">
        <v>92</v>
      </c>
    </row>
    <row r="86" ht="15" customHeight="1">
      <c r="A86" t="s">
        <v>158</v>
      </c>
    </row>
    <row r="87" ht="15" customHeight="1">
      <c r="A87" t="s">
        <v>159</v>
      </c>
    </row>
    <row r="88" ht="15" customHeight="1">
      <c r="A88" t="s">
        <v>160</v>
      </c>
    </row>
  </sheetData>
  <mergeCells count="6">
    <mergeCell ref="A66:G66"/>
    <mergeCell ref="A34:H34"/>
    <mergeCell ref="A1:H1"/>
    <mergeCell ref="A56:G56"/>
    <mergeCell ref="A48:G48"/>
    <mergeCell ref="A2:H2"/>
  </mergeCells>
  <pageMargins left="0.75" right="0.75" top="1" bottom="1" header="0.5" footer="0.5"/>
  <ignoredErrors>
    <ignoredError numberStoredAsText="1" sqref="A1:J88"/>
  </ignoredErrors>
</worksheet>
</file>

<file path=xl/worksheets/sheet4.xml><?xml version="1.0" encoding="utf-8"?>
<worksheet xmlns="http://schemas.openxmlformats.org/spreadsheetml/2006/main" xmlns:r="http://schemas.openxmlformats.org/officeDocument/2006/relationships">
  <dimension ref="A1:K49"/>
  <sheetViews>
    <sheetView workbookViewId="0" rightToLeft="0"/>
  </sheetViews>
  <cols>
    <col min="1" max="1" customWidth="1" width="8.5703125"/>
    <col min="2" max="2" customWidth="1" width="8"/>
    <col min="3" max="3" customWidth="1" width="8"/>
    <col min="4" max="4" customWidth="1" width="8"/>
    <col min="5" max="5" customWidth="1" width="8"/>
    <col min="6" max="6" customWidth="1" width="11.5703125"/>
    <col min="7" max="7" customWidth="1" width="11.28515625"/>
    <col min="8" max="8" customWidth="1" width="8"/>
    <col min="9" max="9" customWidth="1" width="8"/>
    <col min="10" max="10" customWidth="1" width="8"/>
    <col min="11" max="11" customWidth="1" width="8"/>
    <col min="12" max="12" customWidth="1" width="8"/>
    <col min="13" max="13" customWidth="1" width="8"/>
    <col min="14" max="14" customWidth="1" width="8"/>
    <col min="15" max="15" customWidth="1" width="8"/>
    <col min="16" max="16" customWidth="1" width="8"/>
    <col min="17" max="17" customWidth="1" width="8"/>
    <col min="18" max="18" customWidth="1" width="8"/>
    <col min="19" max="19" customWidth="1" width="8"/>
    <col min="20" max="20" customWidth="1" width="8"/>
    <col min="21" max="21" customWidth="1" width="8"/>
    <col min="22" max="22" customWidth="1" width="8"/>
    <col min="23" max="23" customWidth="1" width="8"/>
    <col min="24" max="24" customWidth="1" width="8"/>
    <col min="25" max="25" customWidth="1" width="8"/>
    <col min="26" max="26" customWidth="1" width="8"/>
    <col min="27" max="27" customWidth="1" width="8"/>
    <col min="28" max="28" customWidth="1" width="8"/>
    <col min="29" max="29" customWidth="1" width="8"/>
    <col min="30" max="30" customWidth="1" width="8"/>
    <col min="31" max="31" customWidth="1" width="8"/>
    <col min="32" max="32" customWidth="1" width="8"/>
    <col min="33" max="33" customWidth="1" width="8"/>
    <col min="34" max="34" customWidth="1" width="8"/>
    <col min="35" max="35" customWidth="1" width="8"/>
    <col min="36" max="36" customWidth="1" width="8"/>
    <col min="37" max="37" customWidth="1" width="8"/>
    <col min="38" max="38" customWidth="1" width="8"/>
    <col min="39" max="39" customWidth="1" width="8"/>
    <col min="40" max="40" customWidth="1" width="8"/>
    <col min="41" max="41" customWidth="1" width="8"/>
    <col min="42" max="42" customWidth="1" width="8"/>
    <col min="43" max="43" customWidth="1" width="8"/>
    <col min="44" max="44" customWidth="1" width="8"/>
    <col min="45" max="45" customWidth="1" width="8"/>
    <col min="46" max="46" customWidth="1" width="8"/>
    <col min="47" max="47" customWidth="1" width="8"/>
    <col min="48" max="48" customWidth="1" width="8"/>
    <col min="49" max="49" customWidth="1" width="8"/>
    <col min="50" max="50" customWidth="1" width="8"/>
    <col min="51" max="51" customWidth="1" width="8"/>
    <col min="52" max="52" customWidth="1" width="8"/>
    <col min="53" max="53" customWidth="1" width="8"/>
    <col min="54" max="54" customWidth="1" width="8"/>
    <col min="55" max="55" customWidth="1" width="8"/>
    <col min="56" max="56" customWidth="1" width="8"/>
    <col min="57" max="57" customWidth="1" width="8"/>
    <col min="58" max="58" customWidth="1" width="8"/>
    <col min="59" max="59" customWidth="1" width="8"/>
    <col min="60" max="60" customWidth="1" width="8"/>
    <col min="61" max="61" customWidth="1" width="8"/>
    <col min="62" max="62" customWidth="1" width="8"/>
    <col min="63" max="63" customWidth="1" width="8"/>
    <col min="64" max="64" customWidth="1" width="8"/>
    <col min="65" max="65" customWidth="1" width="8"/>
    <col min="66" max="66" customWidth="1" width="8"/>
    <col min="67" max="67" customWidth="1" width="8"/>
    <col min="68" max="68" customWidth="1" width="8"/>
    <col min="69" max="69" customWidth="1" width="8"/>
    <col min="70" max="70" customWidth="1" width="8"/>
    <col min="71" max="71" customWidth="1" width="8"/>
    <col min="72" max="72" customWidth="1" width="8"/>
    <col min="73" max="73" customWidth="1" width="8"/>
    <col min="74" max="74" customWidth="1" width="8"/>
    <col min="75" max="75" customWidth="1" width="8"/>
    <col min="76" max="76" customWidth="1" width="8"/>
    <col min="77" max="77" customWidth="1" width="8"/>
    <col min="78" max="78" customWidth="1" width="8"/>
    <col min="79" max="79" customWidth="1" width="8"/>
    <col min="80" max="80" customWidth="1" width="8"/>
    <col min="81" max="81" customWidth="1" width="8"/>
    <col min="82" max="82" customWidth="1" width="8"/>
    <col min="83" max="83" customWidth="1" width="8"/>
    <col min="84" max="84" customWidth="1" width="8"/>
    <col min="85" max="85" customWidth="1" width="8"/>
    <col min="86" max="86" customWidth="1" width="8"/>
    <col min="87" max="87" customWidth="1" width="8"/>
    <col min="88" max="88" customWidth="1" width="8"/>
    <col min="89" max="89" customWidth="1" width="8"/>
    <col min="90" max="90" customWidth="1" width="8"/>
    <col min="91" max="91" customWidth="1" width="8"/>
    <col min="92" max="92" customWidth="1" width="8"/>
    <col min="93" max="93" customWidth="1" width="8"/>
    <col min="94" max="94" customWidth="1" width="8"/>
    <col min="95" max="95" customWidth="1" width="8"/>
    <col min="96" max="96" customWidth="1" width="8"/>
    <col min="97" max="97" customWidth="1" width="8"/>
    <col min="98" max="98" customWidth="1" width="8"/>
    <col min="99" max="99" customWidth="1" width="8"/>
    <col min="100" max="100" customWidth="1" width="8"/>
    <col min="101" max="101" customWidth="1" width="8"/>
    <col min="102" max="102" customWidth="1" width="8"/>
    <col min="103" max="103" customWidth="1" width="8"/>
    <col min="104" max="104" customWidth="1" width="8"/>
    <col min="105" max="105" customWidth="1" width="8"/>
    <col min="106" max="106" customWidth="1" width="8"/>
    <col min="107" max="107" customWidth="1" width="8"/>
    <col min="108" max="108" customWidth="1" width="8"/>
    <col min="109" max="109" customWidth="1" width="8"/>
    <col min="110" max="110" customWidth="1" width="8"/>
    <col min="111" max="111" customWidth="1" width="8"/>
    <col min="112" max="112" customWidth="1" width="8"/>
    <col min="113" max="113" customWidth="1" width="8"/>
    <col min="114" max="114" customWidth="1" width="8"/>
    <col min="115" max="115" customWidth="1" width="8"/>
    <col min="116" max="116" customWidth="1" width="8"/>
    <col min="117" max="117" customWidth="1" width="8"/>
    <col min="118" max="118" customWidth="1" width="8"/>
    <col min="119" max="119" customWidth="1" width="8"/>
    <col min="120" max="120" customWidth="1" width="8"/>
    <col min="121" max="121" customWidth="1" width="8"/>
    <col min="122" max="122" customWidth="1" width="8"/>
    <col min="123" max="123" customWidth="1" width="8"/>
    <col min="124" max="124" customWidth="1" width="8"/>
    <col min="125" max="125" customWidth="1" width="8"/>
    <col min="126" max="126" customWidth="1" width="8"/>
    <col min="127" max="127" customWidth="1" width="8"/>
    <col min="128" max="128" customWidth="1" width="8"/>
    <col min="129" max="129" customWidth="1" width="8"/>
    <col min="130" max="130" customWidth="1" width="8"/>
    <col min="131" max="131" customWidth="1" width="8"/>
    <col min="132" max="132" customWidth="1" width="8"/>
    <col min="133" max="133" customWidth="1" width="8"/>
    <col min="134" max="134" customWidth="1" width="8"/>
    <col min="135" max="135" customWidth="1" width="8"/>
    <col min="136" max="136" customWidth="1" width="8"/>
    <col min="137" max="137" customWidth="1" width="8"/>
    <col min="138" max="138" customWidth="1" width="8"/>
    <col min="139" max="139" customWidth="1" width="8"/>
    <col min="140" max="140" customWidth="1" width="8"/>
    <col min="141" max="141" customWidth="1" width="8"/>
    <col min="142" max="142" customWidth="1" width="8"/>
    <col min="143" max="143" customWidth="1" width="8"/>
    <col min="144" max="144" customWidth="1" width="8"/>
    <col min="145" max="145" customWidth="1" width="8"/>
    <col min="146" max="146" customWidth="1" width="8"/>
    <col min="147" max="147" customWidth="1" width="8"/>
    <col min="148" max="148" customWidth="1" width="8"/>
    <col min="149" max="149" customWidth="1" width="8"/>
    <col min="150" max="150" customWidth="1" width="8"/>
    <col min="151" max="151" customWidth="1" width="8"/>
    <col min="152" max="152" customWidth="1" width="8"/>
    <col min="153" max="153" customWidth="1" width="8"/>
    <col min="154" max="154" customWidth="1" width="8"/>
    <col min="155" max="155" customWidth="1" width="8"/>
    <col min="156" max="156" customWidth="1" width="8"/>
    <col min="157" max="157" customWidth="1" width="8"/>
    <col min="158" max="158" customWidth="1" width="8"/>
    <col min="159" max="159" customWidth="1" width="8"/>
    <col min="160" max="160" customWidth="1" width="8"/>
    <col min="161" max="161" customWidth="1" width="8"/>
    <col min="162" max="162" customWidth="1" width="8"/>
    <col min="163" max="163" customWidth="1" width="8"/>
    <col min="164" max="164" customWidth="1" width="8"/>
    <col min="165" max="165" customWidth="1" width="8"/>
    <col min="166" max="166" customWidth="1" width="8"/>
    <col min="167" max="167" customWidth="1" width="8"/>
    <col min="168" max="168" customWidth="1" width="8"/>
    <col min="169" max="169" customWidth="1" width="8"/>
    <col min="170" max="170" customWidth="1" width="8"/>
    <col min="171" max="171" customWidth="1" width="8"/>
    <col min="172" max="172" customWidth="1" width="8"/>
    <col min="173" max="173" customWidth="1" width="8"/>
    <col min="174" max="174" customWidth="1" width="8"/>
    <col min="175" max="175" customWidth="1" width="8"/>
    <col min="176" max="176" customWidth="1" width="8"/>
    <col min="177" max="177" customWidth="1" width="8"/>
    <col min="178" max="178" customWidth="1" width="8"/>
    <col min="179" max="179" customWidth="1" width="8"/>
    <col min="180" max="180" customWidth="1" width="8"/>
    <col min="181" max="181" customWidth="1" width="8"/>
    <col min="182" max="182" customWidth="1" width="8"/>
    <col min="183" max="183" customWidth="1" width="8"/>
    <col min="184" max="184" customWidth="1" width="8"/>
    <col min="185" max="185" customWidth="1" width="8"/>
    <col min="186" max="186" customWidth="1" width="8"/>
    <col min="187" max="187" customWidth="1" width="8"/>
    <col min="188" max="188" customWidth="1" width="8"/>
    <col min="189" max="189" customWidth="1" width="8"/>
    <col min="190" max="190" customWidth="1" width="8"/>
    <col min="191" max="191" customWidth="1" width="8"/>
    <col min="192" max="192" customWidth="1" width="8"/>
    <col min="193" max="193" customWidth="1" width="8"/>
    <col min="194" max="194" customWidth="1" width="8"/>
    <col min="195" max="195" customWidth="1" width="8"/>
    <col min="196" max="196" customWidth="1" width="8"/>
    <col min="197" max="197" customWidth="1" width="8"/>
    <col min="198" max="198" customWidth="1" width="8"/>
    <col min="199" max="199" customWidth="1" width="8"/>
    <col min="200" max="200" customWidth="1" width="8"/>
    <col min="201" max="201" customWidth="1" width="8"/>
    <col min="202" max="202" customWidth="1" width="8"/>
    <col min="203" max="203" customWidth="1" width="8"/>
    <col min="204" max="204" customWidth="1" width="8"/>
    <col min="205" max="205" customWidth="1" width="8"/>
    <col min="206" max="206" customWidth="1" width="8"/>
    <col min="207" max="207" customWidth="1" width="8"/>
    <col min="208" max="208" customWidth="1" width="8"/>
    <col min="209" max="209" customWidth="1" width="8"/>
    <col min="210" max="210" customWidth="1" width="8"/>
    <col min="211" max="211" customWidth="1" width="8"/>
    <col min="212" max="212" customWidth="1" width="8"/>
    <col min="213" max="213" customWidth="1" width="8"/>
    <col min="214" max="214" customWidth="1" width="8"/>
    <col min="215" max="215" customWidth="1" width="8"/>
    <col min="216" max="216" customWidth="1" width="8"/>
    <col min="217" max="217" customWidth="1" width="8"/>
    <col min="218" max="218" customWidth="1" width="8"/>
    <col min="219" max="219" customWidth="1" width="8"/>
    <col min="220" max="220" customWidth="1" width="8"/>
    <col min="221" max="221" customWidth="1" width="8"/>
    <col min="222" max="222" customWidth="1" width="8"/>
    <col min="223" max="223" customWidth="1" width="8"/>
    <col min="224" max="224" customWidth="1" width="8"/>
    <col min="225" max="225" customWidth="1" width="8"/>
    <col min="226" max="226" customWidth="1" width="8"/>
    <col min="227" max="227" customWidth="1" width="8"/>
    <col min="228" max="228" customWidth="1" width="8"/>
    <col min="229" max="229" customWidth="1" width="8"/>
    <col min="230" max="230" customWidth="1" width="8"/>
    <col min="231" max="231" customWidth="1" width="8"/>
    <col min="232" max="232" customWidth="1" width="8"/>
    <col min="233" max="233" customWidth="1" width="8"/>
    <col min="234" max="234" customWidth="1" width="8"/>
    <col min="235" max="235" customWidth="1" width="8"/>
    <col min="236" max="236" customWidth="1" width="8"/>
    <col min="237" max="237" customWidth="1" width="8"/>
    <col min="238" max="238" customWidth="1" width="8"/>
    <col min="239" max="239" customWidth="1" width="8"/>
    <col min="240" max="240" customWidth="1" width="8"/>
    <col min="241" max="241" customWidth="1" width="8"/>
    <col min="242" max="242" customWidth="1" width="8"/>
    <col min="243" max="243" customWidth="1" width="8"/>
    <col min="244" max="244" customWidth="1" width="8"/>
    <col min="245" max="245" customWidth="1" width="8"/>
    <col min="246" max="246" customWidth="1" width="8"/>
    <col min="247" max="247" customWidth="1" width="8"/>
    <col min="248" max="248" customWidth="1" width="8"/>
    <col min="249" max="249" customWidth="1" width="8"/>
    <col min="250" max="250" customWidth="1" width="8"/>
    <col min="251" max="251" customWidth="1" width="8"/>
    <col min="252" max="252" customWidth="1" width="8"/>
    <col min="253" max="253" customWidth="1" width="8"/>
    <col min="254" max="254" customWidth="1" width="8"/>
    <col min="255" max="255" customWidth="1" width="8"/>
    <col min="256" max="256" customWidth="1" width="8"/>
    <col min="257" max="257" customWidth="1" width="8"/>
    <col min="258" max="258" customWidth="1" width="8"/>
    <col min="259" max="259" customWidth="1" width="8"/>
    <col min="260" max="260" customWidth="1" width="8"/>
    <col min="261" max="261" customWidth="1" width="8"/>
    <col min="262" max="262" customWidth="1" width="8"/>
    <col min="263" max="263" customWidth="1" width="8"/>
    <col min="264" max="264" customWidth="1" width="8"/>
    <col min="265" max="265" customWidth="1" width="8"/>
    <col min="266" max="266" customWidth="1" width="8"/>
    <col min="267" max="267" customWidth="1" width="8"/>
    <col min="268" max="268" customWidth="1" width="8"/>
    <col min="269" max="269" customWidth="1" width="8"/>
    <col min="270" max="270" customWidth="1" width="8"/>
    <col min="271" max="271" customWidth="1" width="8"/>
    <col min="272" max="272" customWidth="1" width="8"/>
    <col min="273" max="273" customWidth="1" width="8"/>
    <col min="274" max="274" customWidth="1" width="8"/>
    <col min="275" max="275" customWidth="1" width="8"/>
    <col min="276" max="276" customWidth="1" width="8"/>
    <col min="277" max="277" customWidth="1" width="8"/>
    <col min="278" max="278" customWidth="1" width="8"/>
    <col min="279" max="279" customWidth="1" width="8"/>
    <col min="280" max="280" customWidth="1" width="8"/>
    <col min="281" max="281" customWidth="1" width="8"/>
    <col min="282" max="282" customWidth="1" width="8"/>
    <col min="283" max="283" customWidth="1" width="8"/>
    <col min="284" max="284" customWidth="1" width="8"/>
    <col min="285" max="285" customWidth="1" width="8"/>
    <col min="286" max="286" customWidth="1" width="8"/>
    <col min="287" max="287" customWidth="1" width="8"/>
    <col min="288" max="288" customWidth="1" width="8"/>
    <col min="289" max="289" customWidth="1" width="8"/>
    <col min="290" max="290" customWidth="1" width="8"/>
    <col min="291" max="291" customWidth="1" width="8"/>
    <col min="292" max="292" customWidth="1" width="8"/>
    <col min="293" max="293" customWidth="1" width="8"/>
    <col min="294" max="294" customWidth="1" width="8"/>
    <col min="295" max="295" customWidth="1" width="8"/>
    <col min="296" max="296" customWidth="1" width="8"/>
    <col min="297" max="297" customWidth="1" width="8"/>
    <col min="298" max="298" customWidth="1" width="8"/>
    <col min="299" max="299" customWidth="1" width="8"/>
    <col min="300" max="300" customWidth="1" width="8"/>
    <col min="301" max="301" customWidth="1" width="8"/>
    <col min="302" max="302" customWidth="1" width="8"/>
    <col min="303" max="303" customWidth="1" width="8"/>
    <col min="304" max="304" customWidth="1" width="8"/>
    <col min="305" max="305" customWidth="1" width="8"/>
    <col min="306" max="306" customWidth="1" width="8"/>
    <col min="307" max="307" customWidth="1" width="8"/>
    <col min="308" max="308" customWidth="1" width="8"/>
    <col min="309" max="309" customWidth="1" width="8"/>
    <col min="310" max="310" customWidth="1" width="8"/>
    <col min="311" max="311" customWidth="1" width="8"/>
    <col min="312" max="312" customWidth="1" width="8"/>
    <col min="313" max="313" customWidth="1" width="8"/>
    <col min="314" max="314" customWidth="1" width="8"/>
    <col min="315" max="315" customWidth="1" width="8"/>
    <col min="316" max="316" customWidth="1" width="8"/>
    <col min="317" max="317" customWidth="1" width="8"/>
    <col min="318" max="318" customWidth="1" width="8"/>
    <col min="319" max="319" customWidth="1" width="8"/>
    <col min="320" max="320" customWidth="1" width="8"/>
    <col min="321" max="321" customWidth="1" width="8"/>
    <col min="322" max="322" customWidth="1" width="8"/>
    <col min="323" max="323" customWidth="1" width="8"/>
    <col min="324" max="324" customWidth="1" width="8"/>
    <col min="325" max="325" customWidth="1" width="8"/>
    <col min="326" max="326" customWidth="1" width="8"/>
    <col min="327" max="327" customWidth="1" width="8"/>
    <col min="328" max="328" customWidth="1" width="8"/>
    <col min="329" max="329" customWidth="1" width="8"/>
    <col min="330" max="330" customWidth="1" width="8"/>
    <col min="331" max="331" customWidth="1" width="8"/>
    <col min="332" max="332" customWidth="1" width="8"/>
    <col min="333" max="333" customWidth="1" width="8"/>
    <col min="334" max="334" customWidth="1" width="8"/>
    <col min="335" max="335" customWidth="1" width="8"/>
    <col min="336" max="336" customWidth="1" width="8"/>
    <col min="337" max="337" customWidth="1" width="8"/>
    <col min="338" max="338" customWidth="1" width="8"/>
    <col min="339" max="339" customWidth="1" width="8"/>
    <col min="340" max="340" customWidth="1" width="8"/>
    <col min="341" max="341" customWidth="1" width="8"/>
    <col min="342" max="342" customWidth="1" width="8"/>
    <col min="343" max="343" customWidth="1" width="8"/>
    <col min="344" max="344" customWidth="1" width="8"/>
    <col min="345" max="345" customWidth="1" width="8"/>
    <col min="346" max="346" customWidth="1" width="8"/>
    <col min="347" max="347" customWidth="1" width="8"/>
    <col min="348" max="348" customWidth="1" width="8"/>
    <col min="349" max="349" customWidth="1" width="8"/>
    <col min="350" max="350" customWidth="1" width="8"/>
    <col min="351" max="351" customWidth="1" width="8"/>
    <col min="352" max="352" customWidth="1" width="8"/>
    <col min="353" max="353" customWidth="1" width="8"/>
    <col min="354" max="354" customWidth="1" width="8"/>
    <col min="355" max="355" customWidth="1" width="8"/>
    <col min="356" max="356" customWidth="1" width="8"/>
    <col min="357" max="357" customWidth="1" width="8"/>
    <col min="358" max="358" customWidth="1" width="8"/>
    <col min="359" max="359" customWidth="1" width="8"/>
    <col min="360" max="360" customWidth="1" width="8"/>
    <col min="361" max="361" customWidth="1" width="8"/>
    <col min="362" max="362" customWidth="1" width="8"/>
    <col min="363" max="363" customWidth="1" width="8"/>
    <col min="364" max="364" customWidth="1" width="8"/>
    <col min="365" max="365" customWidth="1" width="8"/>
    <col min="366" max="366" customWidth="1" width="8"/>
    <col min="367" max="367" customWidth="1" width="8"/>
    <col min="368" max="368" customWidth="1" width="8"/>
    <col min="369" max="369" customWidth="1" width="8"/>
    <col min="370" max="370" customWidth="1" width="8"/>
    <col min="371" max="371" customWidth="1" width="8"/>
    <col min="372" max="372" customWidth="1" width="8"/>
    <col min="373" max="373" customWidth="1" width="8"/>
    <col min="374" max="374" customWidth="1" width="8"/>
    <col min="375" max="375" customWidth="1" width="8"/>
    <col min="376" max="376" customWidth="1" width="8"/>
    <col min="377" max="377" customWidth="1" width="8"/>
    <col min="378" max="378" customWidth="1" width="8"/>
    <col min="379" max="379" customWidth="1" width="8"/>
    <col min="380" max="380" customWidth="1" width="8"/>
    <col min="381" max="381" customWidth="1" width="8"/>
    <col min="382" max="382" customWidth="1" width="8"/>
    <col min="383" max="383" customWidth="1" width="8"/>
    <col min="384" max="384" customWidth="1" width="8"/>
    <col min="385" max="385" customWidth="1" width="8"/>
    <col min="386" max="386" customWidth="1" width="8"/>
    <col min="387" max="387" customWidth="1" width="8"/>
    <col min="388" max="388" customWidth="1" width="8"/>
    <col min="389" max="389" customWidth="1" width="8"/>
    <col min="390" max="390" customWidth="1" width="8"/>
    <col min="391" max="391" customWidth="1" width="8"/>
    <col min="392" max="392" customWidth="1" width="8"/>
    <col min="393" max="393" customWidth="1" width="8"/>
    <col min="394" max="394" customWidth="1" width="8"/>
    <col min="395" max="395" customWidth="1" width="8"/>
    <col min="396" max="396" customWidth="1" width="8"/>
    <col min="397" max="397" customWidth="1" width="8"/>
    <col min="398" max="398" customWidth="1" width="8"/>
    <col min="399" max="399" customWidth="1" width="8"/>
    <col min="400" max="400" customWidth="1" width="8"/>
    <col min="401" max="401" customWidth="1" width="8"/>
    <col min="402" max="402" customWidth="1" width="8"/>
    <col min="403" max="403" customWidth="1" width="8"/>
    <col min="404" max="404" customWidth="1" width="8"/>
    <col min="405" max="405" customWidth="1" width="8"/>
    <col min="406" max="406" customWidth="1" width="8"/>
    <col min="407" max="407" customWidth="1" width="8"/>
    <col min="408" max="408" customWidth="1" width="8"/>
    <col min="409" max="409" customWidth="1" width="8"/>
    <col min="410" max="410" customWidth="1" width="8"/>
    <col min="411" max="411" customWidth="1" width="8"/>
    <col min="412" max="412" customWidth="1" width="8"/>
    <col min="413" max="413" customWidth="1" width="8"/>
    <col min="414" max="414" customWidth="1" width="8"/>
    <col min="415" max="415" customWidth="1" width="8"/>
    <col min="416" max="416" customWidth="1" width="8"/>
    <col min="417" max="417" customWidth="1" width="8"/>
    <col min="418" max="418" customWidth="1" width="8"/>
    <col min="419" max="419" customWidth="1" width="8"/>
    <col min="420" max="420" customWidth="1" width="8"/>
    <col min="421" max="421" customWidth="1" width="8"/>
    <col min="422" max="422" customWidth="1" width="8"/>
    <col min="423" max="423" customWidth="1" width="8"/>
    <col min="424" max="424" customWidth="1" width="8"/>
    <col min="425" max="425" customWidth="1" width="8"/>
    <col min="426" max="426" customWidth="1" width="8"/>
    <col min="427" max="427" customWidth="1" width="8"/>
    <col min="428" max="428" customWidth="1" width="8"/>
    <col min="429" max="429" customWidth="1" width="8"/>
    <col min="430" max="430" customWidth="1" width="8"/>
    <col min="431" max="431" customWidth="1" width="8"/>
    <col min="432" max="432" customWidth="1" width="8"/>
    <col min="433" max="433" customWidth="1" width="8"/>
    <col min="434" max="434" customWidth="1" width="8"/>
    <col min="435" max="435" customWidth="1" width="8"/>
    <col min="436" max="436" customWidth="1" width="8"/>
    <col min="437" max="437" customWidth="1" width="8"/>
    <col min="438" max="438" customWidth="1" width="8"/>
    <col min="439" max="439" customWidth="1" width="8"/>
    <col min="440" max="440" customWidth="1" width="8"/>
    <col min="441" max="441" customWidth="1" width="8"/>
    <col min="442" max="442" customWidth="1" width="8"/>
    <col min="443" max="443" customWidth="1" width="8"/>
    <col min="444" max="444" customWidth="1" width="8"/>
    <col min="445" max="445" customWidth="1" width="8"/>
    <col min="446" max="446" customWidth="1" width="8"/>
    <col min="447" max="447" customWidth="1" width="8"/>
    <col min="448" max="448" customWidth="1" width="8"/>
    <col min="449" max="449" customWidth="1" width="8"/>
    <col min="450" max="450" customWidth="1" width="8"/>
    <col min="451" max="451" customWidth="1" width="8"/>
    <col min="452" max="452" customWidth="1" width="8"/>
    <col min="453" max="453" customWidth="1" width="8"/>
    <col min="454" max="454" customWidth="1" width="8"/>
    <col min="455" max="455" customWidth="1" width="8"/>
    <col min="456" max="456" customWidth="1" width="8"/>
    <col min="457" max="457" customWidth="1" width="8"/>
    <col min="458" max="458" customWidth="1" width="8"/>
    <col min="459" max="459" customWidth="1" width="8"/>
    <col min="460" max="460" customWidth="1" width="8"/>
    <col min="461" max="461" customWidth="1" width="8"/>
    <col min="462" max="462" customWidth="1" width="8"/>
    <col min="463" max="463" customWidth="1" width="8"/>
    <col min="464" max="464" customWidth="1" width="8"/>
    <col min="465" max="465" customWidth="1" width="8"/>
    <col min="466" max="466" customWidth="1" width="8"/>
    <col min="467" max="467" customWidth="1" width="8"/>
    <col min="468" max="468" customWidth="1" width="8"/>
    <col min="469" max="469" customWidth="1" width="8"/>
    <col min="470" max="470" customWidth="1" width="8"/>
    <col min="471" max="471" customWidth="1" width="8"/>
    <col min="472" max="472" customWidth="1" width="8"/>
    <col min="473" max="473" customWidth="1" width="8"/>
    <col min="474" max="474" customWidth="1" width="8"/>
    <col min="475" max="475" customWidth="1" width="8"/>
    <col min="476" max="476" customWidth="1" width="8"/>
    <col min="477" max="477" customWidth="1" width="8"/>
    <col min="478" max="478" customWidth="1" width="8"/>
    <col min="479" max="479" customWidth="1" width="8"/>
    <col min="480" max="480" customWidth="1" width="8"/>
    <col min="481" max="481" customWidth="1" width="8"/>
    <col min="482" max="482" customWidth="1" width="8"/>
    <col min="483" max="483" customWidth="1" width="8"/>
    <col min="484" max="484" customWidth="1" width="8"/>
    <col min="485" max="485" customWidth="1" width="8"/>
    <col min="486" max="486" customWidth="1" width="8"/>
    <col min="487" max="487" customWidth="1" width="8"/>
    <col min="488" max="488" customWidth="1" width="8"/>
    <col min="489" max="489" customWidth="1" width="8"/>
    <col min="490" max="490" customWidth="1" width="8"/>
    <col min="491" max="491" customWidth="1" width="8"/>
    <col min="492" max="492" customWidth="1" width="8"/>
    <col min="493" max="493" customWidth="1" width="8"/>
    <col min="494" max="494" customWidth="1" width="8"/>
    <col min="495" max="495" customWidth="1" width="8"/>
    <col min="496" max="496" customWidth="1" width="8"/>
    <col min="497" max="497" customWidth="1" width="8"/>
    <col min="498" max="498" customWidth="1" width="8"/>
    <col min="499" max="499" customWidth="1" width="8"/>
    <col min="500" max="500" customWidth="1" width="8"/>
    <col min="501" max="501" customWidth="1" width="8"/>
    <col min="502" max="502" customWidth="1" width="8"/>
    <col min="503" max="503" customWidth="1" width="8"/>
    <col min="504" max="504" customWidth="1" width="8"/>
    <col min="505" max="505" customWidth="1" width="8"/>
    <col min="506" max="506" customWidth="1" width="8"/>
    <col min="507" max="507" customWidth="1" width="8"/>
    <col min="508" max="508" customWidth="1" width="8"/>
    <col min="509" max="509" customWidth="1" width="8"/>
    <col min="510" max="510" customWidth="1" width="8"/>
    <col min="511" max="511" customWidth="1" width="8"/>
    <col min="512" max="512" customWidth="1" width="8"/>
    <col min="513" max="513" customWidth="1" width="8"/>
    <col min="514" max="514" customWidth="1" width="8"/>
    <col min="515" max="515" customWidth="1" width="8"/>
    <col min="516" max="516" customWidth="1" width="8"/>
    <col min="517" max="517" customWidth="1" width="8"/>
    <col min="518" max="518" customWidth="1" width="8"/>
    <col min="519" max="519" customWidth="1" width="8"/>
    <col min="520" max="520" customWidth="1" width="8"/>
    <col min="521" max="521" customWidth="1" width="8"/>
    <col min="522" max="522" customWidth="1" width="8"/>
    <col min="523" max="523" customWidth="1" width="8"/>
    <col min="524" max="524" customWidth="1" width="8"/>
    <col min="525" max="525" customWidth="1" width="8"/>
    <col min="526" max="526" customWidth="1" width="8"/>
    <col min="527" max="527" customWidth="1" width="8"/>
    <col min="528" max="528" customWidth="1" width="8"/>
    <col min="529" max="529" customWidth="1" width="8"/>
    <col min="530" max="530" customWidth="1" width="8"/>
    <col min="531" max="531" customWidth="1" width="8"/>
    <col min="532" max="532" customWidth="1" width="8"/>
    <col min="533" max="533" customWidth="1" width="8"/>
    <col min="534" max="534" customWidth="1" width="8"/>
    <col min="535" max="535" customWidth="1" width="8"/>
    <col min="536" max="536" customWidth="1" width="8"/>
    <col min="537" max="537" customWidth="1" width="8"/>
    <col min="538" max="538" customWidth="1" width="8"/>
    <col min="539" max="539" customWidth="1" width="8"/>
    <col min="540" max="540" customWidth="1" width="8"/>
    <col min="541" max="541" customWidth="1" width="8"/>
    <col min="542" max="542" customWidth="1" width="8"/>
    <col min="543" max="543" customWidth="1" width="8"/>
    <col min="544" max="544" customWidth="1" width="8"/>
    <col min="545" max="545" customWidth="1" width="8"/>
    <col min="546" max="546" customWidth="1" width="8"/>
    <col min="547" max="547" customWidth="1" width="8"/>
    <col min="548" max="548" customWidth="1" width="8"/>
    <col min="549" max="549" customWidth="1" width="8"/>
    <col min="550" max="550" customWidth="1" width="8"/>
    <col min="551" max="551" customWidth="1" width="8"/>
    <col min="552" max="552" customWidth="1" width="8"/>
    <col min="553" max="553" customWidth="1" width="8"/>
    <col min="554" max="554" customWidth="1" width="8"/>
    <col min="555" max="555" customWidth="1" width="8"/>
    <col min="556" max="556" customWidth="1" width="8"/>
    <col min="557" max="557" customWidth="1" width="8"/>
    <col min="558" max="558" customWidth="1" width="8"/>
    <col min="559" max="559" customWidth="1" width="8"/>
    <col min="560" max="560" customWidth="1" width="8"/>
    <col min="561" max="561" customWidth="1" width="8"/>
    <col min="562" max="562" customWidth="1" width="8"/>
    <col min="563" max="563" customWidth="1" width="8"/>
    <col min="564" max="564" customWidth="1" width="8"/>
    <col min="565" max="565" customWidth="1" width="8"/>
    <col min="566" max="566" customWidth="1" width="8"/>
    <col min="567" max="567" customWidth="1" width="8"/>
    <col min="568" max="568" customWidth="1" width="8"/>
    <col min="569" max="569" customWidth="1" width="8"/>
    <col min="570" max="570" customWidth="1" width="8"/>
    <col min="571" max="571" customWidth="1" width="8"/>
    <col min="572" max="572" customWidth="1" width="8"/>
    <col min="573" max="573" customWidth="1" width="8"/>
    <col min="574" max="574" customWidth="1" width="8"/>
    <col min="575" max="575" customWidth="1" width="8"/>
    <col min="576" max="576" customWidth="1" width="8"/>
    <col min="577" max="577" customWidth="1" width="8"/>
    <col min="578" max="578" customWidth="1" width="8"/>
    <col min="579" max="579" customWidth="1" width="8"/>
    <col min="580" max="580" customWidth="1" width="8"/>
    <col min="581" max="581" customWidth="1" width="8"/>
    <col min="582" max="582" customWidth="1" width="8"/>
    <col min="583" max="583" customWidth="1" width="8"/>
    <col min="584" max="584" customWidth="1" width="8"/>
    <col min="585" max="585" customWidth="1" width="8"/>
    <col min="586" max="586" customWidth="1" width="8"/>
    <col min="587" max="587" customWidth="1" width="8"/>
    <col min="588" max="588" customWidth="1" width="8"/>
    <col min="589" max="589" customWidth="1" width="8"/>
    <col min="590" max="590" customWidth="1" width="8"/>
    <col min="591" max="591" customWidth="1" width="8"/>
    <col min="592" max="592" customWidth="1" width="8"/>
    <col min="593" max="593" customWidth="1" width="8"/>
    <col min="594" max="594" customWidth="1" width="8"/>
    <col min="595" max="595" customWidth="1" width="8"/>
    <col min="596" max="596" customWidth="1" width="8"/>
    <col min="597" max="597" customWidth="1" width="8"/>
    <col min="598" max="598" customWidth="1" width="8"/>
    <col min="599" max="599" customWidth="1" width="8"/>
    <col min="600" max="600" customWidth="1" width="8"/>
    <col min="601" max="601" customWidth="1" width="8"/>
    <col min="602" max="602" customWidth="1" width="8"/>
    <col min="603" max="603" customWidth="1" width="8"/>
    <col min="604" max="604" customWidth="1" width="8"/>
    <col min="605" max="605" customWidth="1" width="8"/>
    <col min="606" max="606" customWidth="1" width="8"/>
    <col min="607" max="607" customWidth="1" width="8"/>
    <col min="608" max="608" customWidth="1" width="8"/>
    <col min="609" max="609" customWidth="1" width="8"/>
    <col min="610" max="610" customWidth="1" width="8"/>
    <col min="611" max="611" customWidth="1" width="8"/>
    <col min="612" max="612" customWidth="1" width="8"/>
    <col min="613" max="613" customWidth="1" width="8"/>
    <col min="614" max="614" customWidth="1" width="8"/>
    <col min="615" max="615" customWidth="1" width="8"/>
    <col min="616" max="616" customWidth="1" width="8"/>
    <col min="617" max="617" customWidth="1" width="8"/>
    <col min="618" max="618" customWidth="1" width="8"/>
    <col min="619" max="619" customWidth="1" width="8"/>
    <col min="620" max="620" customWidth="1" width="8"/>
    <col min="621" max="621" customWidth="1" width="8"/>
    <col min="622" max="622" customWidth="1" width="8"/>
    <col min="623" max="623" customWidth="1" width="8"/>
    <col min="624" max="624" customWidth="1" width="8"/>
    <col min="625" max="625" customWidth="1" width="8"/>
    <col min="626" max="626" customWidth="1" width="8"/>
    <col min="627" max="627" customWidth="1" width="8"/>
    <col min="628" max="628" customWidth="1" width="8"/>
    <col min="629" max="629" customWidth="1" width="8"/>
    <col min="630" max="630" customWidth="1" width="8"/>
    <col min="631" max="631" customWidth="1" width="8"/>
    <col min="632" max="632" customWidth="1" width="8"/>
    <col min="633" max="633" customWidth="1" width="8"/>
    <col min="634" max="634" customWidth="1" width="8"/>
    <col min="635" max="635" customWidth="1" width="8"/>
    <col min="636" max="636" customWidth="1" width="8"/>
    <col min="637" max="637" customWidth="1" width="8"/>
    <col min="638" max="638" customWidth="1" width="8"/>
    <col min="639" max="639" customWidth="1" width="8"/>
    <col min="640" max="640" customWidth="1" width="8"/>
    <col min="641" max="641" customWidth="1" width="8"/>
    <col min="642" max="642" customWidth="1" width="8"/>
    <col min="643" max="643" customWidth="1" width="8"/>
    <col min="644" max="644" customWidth="1" width="8"/>
    <col min="645" max="645" customWidth="1" width="8"/>
    <col min="646" max="646" customWidth="1" width="8"/>
    <col min="647" max="647" customWidth="1" width="8"/>
    <col min="648" max="648" customWidth="1" width="8"/>
    <col min="649" max="649" customWidth="1" width="8"/>
    <col min="650" max="650" customWidth="1" width="8"/>
    <col min="651" max="651" customWidth="1" width="8"/>
    <col min="652" max="652" customWidth="1" width="8"/>
    <col min="653" max="653" customWidth="1" width="8"/>
    <col min="654" max="654" customWidth="1" width="8"/>
    <col min="655" max="655" customWidth="1" width="8"/>
    <col min="656" max="656" customWidth="1" width="8"/>
    <col min="657" max="657" customWidth="1" width="8"/>
    <col min="658" max="658" customWidth="1" width="8"/>
    <col min="659" max="659" customWidth="1" width="8"/>
    <col min="660" max="660" customWidth="1" width="8"/>
    <col min="661" max="661" customWidth="1" width="8"/>
    <col min="662" max="662" customWidth="1" width="8"/>
    <col min="663" max="663" customWidth="1" width="8"/>
    <col min="664" max="664" customWidth="1" width="8"/>
    <col min="665" max="665" customWidth="1" width="8"/>
    <col min="666" max="666" customWidth="1" width="8"/>
    <col min="667" max="667" customWidth="1" width="8"/>
    <col min="668" max="668" customWidth="1" width="8"/>
    <col min="669" max="669" customWidth="1" width="8"/>
    <col min="670" max="670" customWidth="1" width="8"/>
    <col min="671" max="671" customWidth="1" width="8"/>
    <col min="672" max="672" customWidth="1" width="8"/>
    <col min="673" max="673" customWidth="1" width="8"/>
    <col min="674" max="674" customWidth="1" width="8"/>
    <col min="675" max="675" customWidth="1" width="8"/>
    <col min="676" max="676" customWidth="1" width="8"/>
    <col min="677" max="677" customWidth="1" width="8"/>
    <col min="678" max="678" customWidth="1" width="8"/>
    <col min="679" max="679" customWidth="1" width="8"/>
    <col min="680" max="680" customWidth="1" width="8"/>
    <col min="681" max="681" customWidth="1" width="8"/>
    <col min="682" max="682" customWidth="1" width="8"/>
    <col min="683" max="683" customWidth="1" width="8"/>
    <col min="684" max="684" customWidth="1" width="8"/>
    <col min="685" max="685" customWidth="1" width="8"/>
    <col min="686" max="686" customWidth="1" width="8"/>
    <col min="687" max="687" customWidth="1" width="8"/>
    <col min="688" max="688" customWidth="1" width="8"/>
    <col min="689" max="689" customWidth="1" width="8"/>
    <col min="690" max="690" customWidth="1" width="8"/>
    <col min="691" max="691" customWidth="1" width="8"/>
    <col min="692" max="692" customWidth="1" width="8"/>
    <col min="693" max="693" customWidth="1" width="8"/>
    <col min="694" max="694" customWidth="1" width="8"/>
    <col min="695" max="695" customWidth="1" width="8"/>
    <col min="696" max="696" customWidth="1" width="8"/>
    <col min="697" max="697" customWidth="1" width="8"/>
    <col min="698" max="698" customWidth="1" width="8"/>
    <col min="699" max="699" customWidth="1" width="8"/>
    <col min="700" max="700" customWidth="1" width="8"/>
    <col min="701" max="701" customWidth="1" width="8"/>
    <col min="702" max="702" customWidth="1" width="8"/>
    <col min="703" max="703" customWidth="1" width="8"/>
    <col min="704" max="704" customWidth="1" width="8"/>
    <col min="705" max="705" customWidth="1" width="8"/>
    <col min="706" max="706" customWidth="1" width="8"/>
    <col min="707" max="707" customWidth="1" width="8"/>
    <col min="708" max="708" customWidth="1" width="8"/>
    <col min="709" max="709" customWidth="1" width="8"/>
    <col min="710" max="710" customWidth="1" width="8"/>
    <col min="711" max="711" customWidth="1" width="8"/>
    <col min="712" max="712" customWidth="1" width="8"/>
    <col min="713" max="713" customWidth="1" width="8"/>
    <col min="714" max="714" customWidth="1" width="8"/>
    <col min="715" max="715" customWidth="1" width="8"/>
    <col min="716" max="716" customWidth="1" width="8"/>
    <col min="717" max="717" customWidth="1" width="8"/>
    <col min="718" max="718" customWidth="1" width="8"/>
    <col min="719" max="719" customWidth="1" width="8"/>
    <col min="720" max="720" customWidth="1" width="8"/>
    <col min="721" max="721" customWidth="1" width="8"/>
    <col min="722" max="722" customWidth="1" width="8"/>
    <col min="723" max="723" customWidth="1" width="8"/>
    <col min="724" max="724" customWidth="1" width="8"/>
    <col min="725" max="725" customWidth="1" width="8"/>
    <col min="726" max="726" customWidth="1" width="8"/>
    <col min="727" max="727" customWidth="1" width="8"/>
    <col min="728" max="728" customWidth="1" width="8"/>
    <col min="729" max="729" customWidth="1" width="8"/>
    <col min="730" max="730" customWidth="1" width="8"/>
    <col min="731" max="731" customWidth="1" width="8"/>
    <col min="732" max="732" customWidth="1" width="8"/>
    <col min="733" max="733" customWidth="1" width="8"/>
    <col min="734" max="734" customWidth="1" width="8"/>
    <col min="735" max="735" customWidth="1" width="8"/>
    <col min="736" max="736" customWidth="1" width="8"/>
    <col min="737" max="737" customWidth="1" width="8"/>
    <col min="738" max="738" customWidth="1" width="8"/>
    <col min="739" max="739" customWidth="1" width="8"/>
    <col min="740" max="740" customWidth="1" width="8"/>
    <col min="741" max="741" customWidth="1" width="8"/>
    <col min="742" max="742" customWidth="1" width="8"/>
    <col min="743" max="743" customWidth="1" width="8"/>
    <col min="744" max="744" customWidth="1" width="8"/>
    <col min="745" max="745" customWidth="1" width="8"/>
    <col min="746" max="746" customWidth="1" width="8"/>
    <col min="747" max="747" customWidth="1" width="8"/>
    <col min="748" max="748" customWidth="1" width="8"/>
    <col min="749" max="749" customWidth="1" width="8"/>
    <col min="750" max="750" customWidth="1" width="8"/>
    <col min="751" max="751" customWidth="1" width="8"/>
    <col min="752" max="752" customWidth="1" width="8"/>
    <col min="753" max="753" customWidth="1" width="8"/>
    <col min="754" max="754" customWidth="1" width="8"/>
    <col min="755" max="755" customWidth="1" width="8"/>
    <col min="756" max="756" customWidth="1" width="8"/>
    <col min="757" max="757" customWidth="1" width="8"/>
    <col min="758" max="758" customWidth="1" width="8"/>
    <col min="759" max="759" customWidth="1" width="8"/>
    <col min="760" max="760" customWidth="1" width="8"/>
    <col min="761" max="761" customWidth="1" width="8"/>
    <col min="762" max="762" customWidth="1" width="8"/>
    <col min="763" max="763" customWidth="1" width="8"/>
    <col min="764" max="764" customWidth="1" width="8"/>
    <col min="765" max="765" customWidth="1" width="8"/>
    <col min="766" max="766" customWidth="1" width="8"/>
    <col min="767" max="767" customWidth="1" width="8"/>
    <col min="768" max="768" customWidth="1" width="8"/>
    <col min="769" max="769" customWidth="1" width="8"/>
    <col min="770" max="770" customWidth="1" width="8"/>
    <col min="771" max="771" customWidth="1" width="8"/>
    <col min="772" max="772" customWidth="1" width="8"/>
    <col min="773" max="773" customWidth="1" width="8"/>
    <col min="774" max="774" customWidth="1" width="8"/>
    <col min="775" max="775" customWidth="1" width="8"/>
    <col min="776" max="776" customWidth="1" width="8"/>
    <col min="777" max="777" customWidth="1" width="8"/>
    <col min="778" max="778" customWidth="1" width="8"/>
    <col min="779" max="779" customWidth="1" width="8"/>
    <col min="780" max="780" customWidth="1" width="8"/>
    <col min="781" max="781" customWidth="1" width="8"/>
    <col min="782" max="782" customWidth="1" width="8"/>
    <col min="783" max="783" customWidth="1" width="8"/>
    <col min="784" max="784" customWidth="1" width="8"/>
    <col min="785" max="785" customWidth="1" width="8"/>
    <col min="786" max="786" customWidth="1" width="8"/>
    <col min="787" max="787" customWidth="1" width="8"/>
    <col min="788" max="788" customWidth="1" width="8"/>
    <col min="789" max="789" customWidth="1" width="8"/>
    <col min="790" max="790" customWidth="1" width="8"/>
    <col min="791" max="791" customWidth="1" width="8"/>
    <col min="792" max="792" customWidth="1" width="8"/>
    <col min="793" max="793" customWidth="1" width="8"/>
    <col min="794" max="794" customWidth="1" width="8"/>
    <col min="795" max="795" customWidth="1" width="8"/>
    <col min="796" max="796" customWidth="1" width="8"/>
    <col min="797" max="797" customWidth="1" width="8"/>
    <col min="798" max="798" customWidth="1" width="8"/>
    <col min="799" max="799" customWidth="1" width="8"/>
    <col min="800" max="800" customWidth="1" width="8"/>
    <col min="801" max="801" customWidth="1" width="8"/>
    <col min="802" max="802" customWidth="1" width="8"/>
    <col min="803" max="803" customWidth="1" width="8"/>
    <col min="804" max="804" customWidth="1" width="8"/>
    <col min="805" max="805" customWidth="1" width="8"/>
    <col min="806" max="806" customWidth="1" width="8"/>
    <col min="807" max="807" customWidth="1" width="8"/>
    <col min="808" max="808" customWidth="1" width="8"/>
    <col min="809" max="809" customWidth="1" width="8"/>
    <col min="810" max="810" customWidth="1" width="8"/>
    <col min="811" max="811" customWidth="1" width="8"/>
    <col min="812" max="812" customWidth="1" width="8"/>
    <col min="813" max="813" customWidth="1" width="8"/>
    <col min="814" max="814" customWidth="1" width="8"/>
    <col min="815" max="815" customWidth="1" width="8"/>
    <col min="816" max="816" customWidth="1" width="8"/>
    <col min="817" max="817" customWidth="1" width="8"/>
    <col min="818" max="818" customWidth="1" width="8"/>
    <col min="819" max="819" customWidth="1" width="8"/>
    <col min="820" max="820" customWidth="1" width="8"/>
    <col min="821" max="821" customWidth="1" width="8"/>
    <col min="822" max="822" customWidth="1" width="8"/>
    <col min="823" max="823" customWidth="1" width="8"/>
    <col min="824" max="824" customWidth="1" width="8"/>
    <col min="825" max="825" customWidth="1" width="8"/>
    <col min="826" max="826" customWidth="1" width="8"/>
    <col min="827" max="827" customWidth="1" width="8"/>
    <col min="828" max="828" customWidth="1" width="8"/>
    <col min="829" max="829" customWidth="1" width="8"/>
    <col min="830" max="830" customWidth="1" width="8"/>
    <col min="831" max="831" customWidth="1" width="8"/>
    <col min="832" max="832" customWidth="1" width="8"/>
    <col min="833" max="833" customWidth="1" width="8"/>
    <col min="834" max="834" customWidth="1" width="8"/>
    <col min="835" max="835" customWidth="1" width="8"/>
    <col min="836" max="836" customWidth="1" width="8"/>
    <col min="837" max="837" customWidth="1" width="8"/>
    <col min="838" max="838" customWidth="1" width="8"/>
    <col min="839" max="839" customWidth="1" width="8"/>
    <col min="840" max="840" customWidth="1" width="8"/>
    <col min="841" max="841" customWidth="1" width="8"/>
    <col min="842" max="842" customWidth="1" width="8"/>
    <col min="843" max="843" customWidth="1" width="8"/>
    <col min="844" max="844" customWidth="1" width="8"/>
    <col min="845" max="845" customWidth="1" width="8"/>
    <col min="846" max="846" customWidth="1" width="8"/>
    <col min="847" max="847" customWidth="1" width="8"/>
    <col min="848" max="848" customWidth="1" width="8"/>
    <col min="849" max="849" customWidth="1" width="8"/>
    <col min="850" max="850" customWidth="1" width="8"/>
    <col min="851" max="851" customWidth="1" width="8"/>
    <col min="852" max="852" customWidth="1" width="8"/>
    <col min="853" max="853" customWidth="1" width="8"/>
    <col min="854" max="854" customWidth="1" width="8"/>
    <col min="855" max="855" customWidth="1" width="8"/>
    <col min="856" max="856" customWidth="1" width="8"/>
    <col min="857" max="857" customWidth="1" width="8"/>
    <col min="858" max="858" customWidth="1" width="8"/>
    <col min="859" max="859" customWidth="1" width="8"/>
    <col min="860" max="860" customWidth="1" width="8"/>
    <col min="861" max="861" customWidth="1" width="8"/>
    <col min="862" max="862" customWidth="1" width="8"/>
    <col min="863" max="863" customWidth="1" width="8"/>
    <col min="864" max="864" customWidth="1" width="8"/>
    <col min="865" max="865" customWidth="1" width="8"/>
    <col min="866" max="866" customWidth="1" width="8"/>
    <col min="867" max="867" customWidth="1" width="8"/>
    <col min="868" max="868" customWidth="1" width="8"/>
    <col min="869" max="869" customWidth="1" width="8"/>
    <col min="870" max="870" customWidth="1" width="8"/>
    <col min="871" max="871" customWidth="1" width="8"/>
    <col min="872" max="872" customWidth="1" width="8"/>
    <col min="873" max="873" customWidth="1" width="8"/>
    <col min="874" max="874" customWidth="1" width="8"/>
    <col min="875" max="875" customWidth="1" width="8"/>
    <col min="876" max="876" customWidth="1" width="8"/>
    <col min="877" max="877" customWidth="1" width="8"/>
    <col min="878" max="878" customWidth="1" width="8"/>
    <col min="879" max="879" customWidth="1" width="8"/>
    <col min="880" max="880" customWidth="1" width="8"/>
    <col min="881" max="881" customWidth="1" width="8"/>
    <col min="882" max="882" customWidth="1" width="8"/>
    <col min="883" max="883" customWidth="1" width="8"/>
    <col min="884" max="884" customWidth="1" width="8"/>
    <col min="885" max="885" customWidth="1" width="8"/>
    <col min="886" max="886" customWidth="1" width="8"/>
    <col min="887" max="887" customWidth="1" width="8"/>
    <col min="888" max="888" customWidth="1" width="8"/>
    <col min="889" max="889" customWidth="1" width="8"/>
    <col min="890" max="890" customWidth="1" width="8"/>
    <col min="891" max="891" customWidth="1" width="8"/>
    <col min="892" max="892" customWidth="1" width="8"/>
    <col min="893" max="893" customWidth="1" width="8"/>
    <col min="894" max="894" customWidth="1" width="8"/>
    <col min="895" max="895" customWidth="1" width="8"/>
    <col min="896" max="896" customWidth="1" width="8"/>
    <col min="897" max="897" customWidth="1" width="8"/>
    <col min="898" max="898" customWidth="1" width="8"/>
    <col min="899" max="899" customWidth="1" width="8"/>
    <col min="900" max="900" customWidth="1" width="8"/>
    <col min="901" max="901" customWidth="1" width="8"/>
    <col min="902" max="902" customWidth="1" width="8"/>
    <col min="903" max="903" customWidth="1" width="8"/>
    <col min="904" max="904" customWidth="1" width="8"/>
    <col min="905" max="905" customWidth="1" width="8"/>
    <col min="906" max="906" customWidth="1" width="8"/>
    <col min="907" max="907" customWidth="1" width="8"/>
    <col min="908" max="908" customWidth="1" width="8"/>
    <col min="909" max="909" customWidth="1" width="8"/>
    <col min="910" max="910" customWidth="1" width="8"/>
    <col min="911" max="911" customWidth="1" width="8"/>
    <col min="912" max="912" customWidth="1" width="8"/>
    <col min="913" max="913" customWidth="1" width="8"/>
    <col min="914" max="914" customWidth="1" width="8"/>
    <col min="915" max="915" customWidth="1" width="8"/>
    <col min="916" max="916" customWidth="1" width="8"/>
    <col min="917" max="917" customWidth="1" width="8"/>
    <col min="918" max="918" customWidth="1" width="8"/>
    <col min="919" max="919" customWidth="1" width="8"/>
    <col min="920" max="920" customWidth="1" width="8"/>
    <col min="921" max="921" customWidth="1" width="8"/>
    <col min="922" max="922" customWidth="1" width="8"/>
    <col min="923" max="923" customWidth="1" width="8"/>
    <col min="924" max="924" customWidth="1" width="8"/>
    <col min="925" max="925" customWidth="1" width="8"/>
    <col min="926" max="926" customWidth="1" width="8"/>
    <col min="927" max="927" customWidth="1" width="8"/>
    <col min="928" max="928" customWidth="1" width="8"/>
    <col min="929" max="929" customWidth="1" width="8"/>
    <col min="930" max="930" customWidth="1" width="8"/>
    <col min="931" max="931" customWidth="1" width="8"/>
    <col min="932" max="932" customWidth="1" width="8"/>
    <col min="933" max="933" customWidth="1" width="8"/>
    <col min="934" max="934" customWidth="1" width="8"/>
    <col min="935" max="935" customWidth="1" width="8"/>
    <col min="936" max="936" customWidth="1" width="8"/>
    <col min="937" max="937" customWidth="1" width="8"/>
    <col min="938" max="938" customWidth="1" width="8"/>
    <col min="939" max="939" customWidth="1" width="8"/>
    <col min="940" max="940" customWidth="1" width="8"/>
    <col min="941" max="941" customWidth="1" width="8"/>
    <col min="942" max="942" customWidth="1" width="8"/>
    <col min="943" max="943" customWidth="1" width="8"/>
    <col min="944" max="944" customWidth="1" width="8"/>
    <col min="945" max="945" customWidth="1" width="8"/>
    <col min="946" max="946" customWidth="1" width="8"/>
    <col min="947" max="947" customWidth="1" width="8"/>
    <col min="948" max="948" customWidth="1" width="8"/>
    <col min="949" max="949" customWidth="1" width="8"/>
    <col min="950" max="950" customWidth="1" width="8"/>
    <col min="951" max="951" customWidth="1" width="8"/>
    <col min="952" max="952" customWidth="1" width="8"/>
    <col min="953" max="953" customWidth="1" width="8"/>
    <col min="954" max="954" customWidth="1" width="8"/>
    <col min="955" max="955" customWidth="1" width="8"/>
    <col min="956" max="956" customWidth="1" width="8"/>
    <col min="957" max="957" customWidth="1" width="8"/>
    <col min="958" max="958" customWidth="1" width="8"/>
    <col min="959" max="959" customWidth="1" width="8"/>
    <col min="960" max="960" customWidth="1" width="8"/>
    <col min="961" max="961" customWidth="1" width="8"/>
    <col min="962" max="962" customWidth="1" width="8"/>
    <col min="963" max="963" customWidth="1" width="8"/>
    <col min="964" max="964" customWidth="1" width="8"/>
    <col min="965" max="965" customWidth="1" width="8"/>
    <col min="966" max="966" customWidth="1" width="8"/>
    <col min="967" max="967" customWidth="1" width="8"/>
    <col min="968" max="968" customWidth="1" width="8"/>
    <col min="969" max="969" customWidth="1" width="8"/>
    <col min="970" max="970" customWidth="1" width="8"/>
    <col min="971" max="971" customWidth="1" width="8"/>
    <col min="972" max="972" customWidth="1" width="8"/>
    <col min="973" max="973" customWidth="1" width="8"/>
    <col min="974" max="974" customWidth="1" width="8"/>
    <col min="975" max="975" customWidth="1" width="8"/>
    <col min="976" max="976" customWidth="1" width="8"/>
    <col min="977" max="977" customWidth="1" width="8"/>
    <col min="978" max="978" customWidth="1" width="8"/>
    <col min="979" max="979" customWidth="1" width="8"/>
    <col min="980" max="980" customWidth="1" width="8"/>
    <col min="981" max="981" customWidth="1" width="8"/>
    <col min="982" max="982" customWidth="1" width="8"/>
    <col min="983" max="983" customWidth="1" width="8"/>
    <col min="984" max="984" customWidth="1" width="8"/>
    <col min="985" max="985" customWidth="1" width="8"/>
    <col min="986" max="986" customWidth="1" width="8"/>
    <col min="987" max="987" customWidth="1" width="8"/>
    <col min="988" max="988" customWidth="1" width="8"/>
    <col min="989" max="989" customWidth="1" width="8"/>
    <col min="990" max="990" customWidth="1" width="8"/>
    <col min="991" max="991" customWidth="1" width="8"/>
    <col min="992" max="992" customWidth="1" width="8"/>
    <col min="993" max="993" customWidth="1" width="8"/>
    <col min="994" max="994" customWidth="1" width="8"/>
    <col min="995" max="995" customWidth="1" width="8"/>
    <col min="996" max="996" customWidth="1" width="8"/>
    <col min="997" max="997" customWidth="1" width="8"/>
    <col min="998" max="998" customWidth="1" width="8"/>
    <col min="999" max="999" customWidth="1" width="8"/>
    <col min="1000" max="1000" customWidth="1" width="8"/>
    <col min="1001" max="1001" customWidth="1" width="8"/>
    <col min="1002" max="1002" customWidth="1" width="8"/>
    <col min="1003" max="1003" customWidth="1" width="8"/>
    <col min="1004" max="1004" customWidth="1" width="8"/>
    <col min="1005" max="1005" customWidth="1" width="8"/>
    <col min="1006" max="1006" customWidth="1" width="8"/>
    <col min="1007" max="1007" customWidth="1" width="8"/>
    <col min="1008" max="1008" customWidth="1" width="8"/>
    <col min="1009" max="1009" customWidth="1" width="8"/>
    <col min="1010" max="1010" customWidth="1" width="8"/>
    <col min="1011" max="1011" customWidth="1" width="8"/>
    <col min="1012" max="1012" customWidth="1" width="8"/>
    <col min="1013" max="1013" customWidth="1" width="8"/>
    <col min="1014" max="1014" customWidth="1" width="8"/>
    <col min="1015" max="1015" customWidth="1" width="8"/>
    <col min="1016" max="1016" customWidth="1" width="8"/>
    <col min="1017" max="1017" customWidth="1" width="8"/>
    <col min="1018" max="1018" customWidth="1" width="8"/>
    <col min="1019" max="1019" customWidth="1" width="8"/>
    <col min="1020" max="1020" customWidth="1" width="8"/>
    <col min="1021" max="1021" customWidth="1" width="8"/>
    <col min="1022" max="1022" customWidth="1" width="8"/>
    <col min="1023" max="1023" customWidth="1" width="8"/>
    <col min="1024" max="1024" customWidth="1" width="8"/>
    <col min="1025" max="1025" customWidth="1" width="8"/>
    <col min="1026" max="1026" customWidth="1" width="8"/>
    <col min="1027" max="1027" customWidth="1" width="8"/>
    <col min="1028" max="1028" customWidth="1" width="8"/>
    <col min="1029" max="1029" customWidth="1" width="8"/>
    <col min="1030" max="1030" customWidth="1" width="8"/>
    <col min="1031" max="1031" customWidth="1" width="8"/>
    <col min="1032" max="1032" customWidth="1" width="8"/>
    <col min="1033" max="1033" customWidth="1" width="8"/>
    <col min="1034" max="1034" customWidth="1" width="8"/>
    <col min="1035" max="1035" customWidth="1" width="8"/>
    <col min="1036" max="1036" customWidth="1" width="8"/>
    <col min="1037" max="1037" customWidth="1" width="8"/>
    <col min="1038" max="1038" customWidth="1" width="8"/>
    <col min="1039" max="1039" customWidth="1" width="8"/>
    <col min="1040" max="1040" customWidth="1" width="8"/>
    <col min="1041" max="1041" customWidth="1" width="8"/>
    <col min="1042" max="1042" customWidth="1" width="8"/>
    <col min="1043" max="1043" customWidth="1" width="8"/>
    <col min="1044" max="1044" customWidth="1" width="8"/>
    <col min="1045" max="1045" customWidth="1" width="8"/>
    <col min="1046" max="1046" customWidth="1" width="8"/>
    <col min="1047" max="1047" customWidth="1" width="8"/>
    <col min="1048" max="1048" customWidth="1" width="8"/>
    <col min="1049" max="1049" customWidth="1" width="8"/>
    <col min="1050" max="1050" customWidth="1" width="8"/>
    <col min="1051" max="1051" customWidth="1" width="8"/>
    <col min="1052" max="1052" customWidth="1" width="8"/>
    <col min="1053" max="1053" customWidth="1" width="8"/>
    <col min="1054" max="1054" customWidth="1" width="8"/>
    <col min="1055" max="1055" customWidth="1" width="8"/>
    <col min="1056" max="1056" customWidth="1" width="8"/>
    <col min="1057" max="1057" customWidth="1" width="8"/>
    <col min="1058" max="1058" customWidth="1" width="8"/>
    <col min="1059" max="1059" customWidth="1" width="8"/>
    <col min="1060" max="1060" customWidth="1" width="8"/>
    <col min="1061" max="1061" customWidth="1" width="8"/>
    <col min="1062" max="1062" customWidth="1" width="8"/>
    <col min="1063" max="1063" customWidth="1" width="8"/>
    <col min="1064" max="1064" customWidth="1" width="8"/>
    <col min="1065" max="1065" customWidth="1" width="8"/>
    <col min="1066" max="1066" customWidth="1" width="8"/>
    <col min="1067" max="1067" customWidth="1" width="8"/>
    <col min="1068" max="1068" customWidth="1" width="8"/>
    <col min="1069" max="1069" customWidth="1" width="8"/>
    <col min="1070" max="1070" customWidth="1" width="8"/>
    <col min="1071" max="1071" customWidth="1" width="8"/>
    <col min="1072" max="1072" customWidth="1" width="8"/>
    <col min="1073" max="1073" customWidth="1" width="8"/>
    <col min="1074" max="1074" customWidth="1" width="8"/>
    <col min="1075" max="1075" customWidth="1" width="8"/>
    <col min="1076" max="1076" customWidth="1" width="8"/>
    <col min="1077" max="1077" customWidth="1" width="8"/>
    <col min="1078" max="1078" customWidth="1" width="8"/>
    <col min="1079" max="1079" customWidth="1" width="8"/>
    <col min="1080" max="1080" customWidth="1" width="8"/>
    <col min="1081" max="1081" customWidth="1" width="8"/>
    <col min="1082" max="1082" customWidth="1" width="8"/>
    <col min="1083" max="1083" customWidth="1" width="8"/>
    <col min="1084" max="1084" customWidth="1" width="8"/>
    <col min="1085" max="1085" customWidth="1" width="8"/>
    <col min="1086" max="1086" customWidth="1" width="8"/>
    <col min="1087" max="1087" customWidth="1" width="8"/>
    <col min="1088" max="1088" customWidth="1" width="8"/>
    <col min="1089" max="1089" customWidth="1" width="8"/>
    <col min="1090" max="1090" customWidth="1" width="8"/>
    <col min="1091" max="1091" customWidth="1" width="8"/>
    <col min="1092" max="1092" customWidth="1" width="8"/>
    <col min="1093" max="1093" customWidth="1" width="8"/>
    <col min="1094" max="1094" customWidth="1" width="8"/>
    <col min="1095" max="1095" customWidth="1" width="8"/>
    <col min="1096" max="1096" customWidth="1" width="8"/>
    <col min="1097" max="1097" customWidth="1" width="8"/>
    <col min="1098" max="1098" customWidth="1" width="8"/>
    <col min="1099" max="1099" customWidth="1" width="8"/>
    <col min="1100" max="1100" customWidth="1" width="8"/>
    <col min="1101" max="1101" customWidth="1" width="8"/>
    <col min="1102" max="1102" customWidth="1" width="8"/>
    <col min="1103" max="1103" customWidth="1" width="8"/>
    <col min="1104" max="1104" customWidth="1" width="8"/>
    <col min="1105" max="1105" customWidth="1" width="8"/>
    <col min="1106" max="1106" customWidth="1" width="8"/>
    <col min="1107" max="1107" customWidth="1" width="8"/>
    <col min="1108" max="1108" customWidth="1" width="8"/>
    <col min="1109" max="1109" customWidth="1" width="8"/>
    <col min="1110" max="1110" customWidth="1" width="8"/>
    <col min="1111" max="1111" customWidth="1" width="8"/>
    <col min="1112" max="1112" customWidth="1" width="8"/>
    <col min="1113" max="1113" customWidth="1" width="8"/>
    <col min="1114" max="1114" customWidth="1" width="8"/>
    <col min="1115" max="1115" customWidth="1" width="8"/>
    <col min="1116" max="1116" customWidth="1" width="8"/>
    <col min="1117" max="1117" customWidth="1" width="8"/>
    <col min="1118" max="1118" customWidth="1" width="8"/>
    <col min="1119" max="1119" customWidth="1" width="8"/>
    <col min="1120" max="1120" customWidth="1" width="8"/>
    <col min="1121" max="1121" customWidth="1" width="8"/>
    <col min="1122" max="1122" customWidth="1" width="8"/>
    <col min="1123" max="1123" customWidth="1" width="8"/>
    <col min="1124" max="1124" customWidth="1" width="8"/>
    <col min="1125" max="1125" customWidth="1" width="8"/>
    <col min="1126" max="1126" customWidth="1" width="8"/>
    <col min="1127" max="1127" customWidth="1" width="8"/>
    <col min="1128" max="1128" customWidth="1" width="8"/>
    <col min="1129" max="1129" customWidth="1" width="8"/>
    <col min="1130" max="1130" customWidth="1" width="8"/>
    <col min="1131" max="1131" customWidth="1" width="8"/>
    <col min="1132" max="1132" customWidth="1" width="8"/>
    <col min="1133" max="1133" customWidth="1" width="8"/>
    <col min="1134" max="1134" customWidth="1" width="8"/>
    <col min="1135" max="1135" customWidth="1" width="8"/>
    <col min="1136" max="1136" customWidth="1" width="8"/>
    <col min="1137" max="1137" customWidth="1" width="8"/>
    <col min="1138" max="1138" customWidth="1" width="8"/>
    <col min="1139" max="1139" customWidth="1" width="8"/>
    <col min="1140" max="1140" customWidth="1" width="8"/>
    <col min="1141" max="1141" customWidth="1" width="8"/>
    <col min="1142" max="1142" customWidth="1" width="8"/>
    <col min="1143" max="1143" customWidth="1" width="8"/>
    <col min="1144" max="1144" customWidth="1" width="8"/>
    <col min="1145" max="1145" customWidth="1" width="8"/>
    <col min="1146" max="1146" customWidth="1" width="8"/>
    <col min="1147" max="1147" customWidth="1" width="8"/>
    <col min="1148" max="1148" customWidth="1" width="8"/>
    <col min="1149" max="1149" customWidth="1" width="8"/>
    <col min="1150" max="1150" customWidth="1" width="8"/>
    <col min="1151" max="1151" customWidth="1" width="8"/>
    <col min="1152" max="1152" customWidth="1" width="8"/>
    <col min="1153" max="1153" customWidth="1" width="8"/>
    <col min="1154" max="1154" customWidth="1" width="8"/>
    <col min="1155" max="1155" customWidth="1" width="8"/>
    <col min="1156" max="1156" customWidth="1" width="8"/>
    <col min="1157" max="1157" customWidth="1" width="8"/>
    <col min="1158" max="1158" customWidth="1" width="8"/>
    <col min="1159" max="1159" customWidth="1" width="8"/>
    <col min="1160" max="1160" customWidth="1" width="8"/>
    <col min="1161" max="1161" customWidth="1" width="8"/>
    <col min="1162" max="1162" customWidth="1" width="8"/>
    <col min="1163" max="1163" customWidth="1" width="8"/>
    <col min="1164" max="1164" customWidth="1" width="8"/>
    <col min="1165" max="1165" customWidth="1" width="8"/>
    <col min="1166" max="1166" customWidth="1" width="8"/>
    <col min="1167" max="1167" customWidth="1" width="8"/>
    <col min="1168" max="1168" customWidth="1" width="8"/>
    <col min="1169" max="1169" customWidth="1" width="8"/>
    <col min="1170" max="1170" customWidth="1" width="8"/>
    <col min="1171" max="1171" customWidth="1" width="8"/>
    <col min="1172" max="1172" customWidth="1" width="8"/>
    <col min="1173" max="1173" customWidth="1" width="8"/>
    <col min="1174" max="1174" customWidth="1" width="8"/>
    <col min="1175" max="1175" customWidth="1" width="8"/>
    <col min="1176" max="1176" customWidth="1" width="8"/>
    <col min="1177" max="1177" customWidth="1" width="8"/>
    <col min="1178" max="1178" customWidth="1" width="8"/>
    <col min="1179" max="1179" customWidth="1" width="8"/>
    <col min="1180" max="1180" customWidth="1" width="8"/>
    <col min="1181" max="1181" customWidth="1" width="8"/>
    <col min="1182" max="1182" customWidth="1" width="8"/>
    <col min="1183" max="1183" customWidth="1" width="8"/>
    <col min="1184" max="1184" customWidth="1" width="8"/>
    <col min="1185" max="1185" customWidth="1" width="8"/>
    <col min="1186" max="1186" customWidth="1" width="8"/>
    <col min="1187" max="1187" customWidth="1" width="8"/>
    <col min="1188" max="1188" customWidth="1" width="8"/>
    <col min="1189" max="1189" customWidth="1" width="8"/>
    <col min="1190" max="1190" customWidth="1" width="8"/>
    <col min="1191" max="1191" customWidth="1" width="8"/>
    <col min="1192" max="1192" customWidth="1" width="8"/>
    <col min="1193" max="1193" customWidth="1" width="8"/>
    <col min="1194" max="1194" customWidth="1" width="8"/>
    <col min="1195" max="1195" customWidth="1" width="8"/>
    <col min="1196" max="1196" customWidth="1" width="8"/>
    <col min="1197" max="1197" customWidth="1" width="8"/>
    <col min="1198" max="1198" customWidth="1" width="8"/>
    <col min="1199" max="1199" customWidth="1" width="8"/>
    <col min="1200" max="1200" customWidth="1" width="8"/>
    <col min="1201" max="1201" customWidth="1" width="8"/>
    <col min="1202" max="1202" customWidth="1" width="8"/>
    <col min="1203" max="1203" customWidth="1" width="8"/>
    <col min="1204" max="1204" customWidth="1" width="8"/>
    <col min="1205" max="1205" customWidth="1" width="8"/>
    <col min="1206" max="1206" customWidth="1" width="8"/>
    <col min="1207" max="1207" customWidth="1" width="8"/>
    <col min="1208" max="1208" customWidth="1" width="8"/>
    <col min="1209" max="1209" customWidth="1" width="8"/>
    <col min="1210" max="1210" customWidth="1" width="8"/>
    <col min="1211" max="1211" customWidth="1" width="8"/>
    <col min="1212" max="1212" customWidth="1" width="8"/>
    <col min="1213" max="1213" customWidth="1" width="8"/>
    <col min="1214" max="1214" customWidth="1" width="8"/>
    <col min="1215" max="1215" customWidth="1" width="8"/>
    <col min="1216" max="1216" customWidth="1" width="8"/>
    <col min="1217" max="1217" customWidth="1" width="8"/>
    <col min="1218" max="1218" customWidth="1" width="8"/>
    <col min="1219" max="1219" customWidth="1" width="8"/>
    <col min="1220" max="1220" customWidth="1" width="8"/>
    <col min="1221" max="1221" customWidth="1" width="8"/>
    <col min="1222" max="1222" customWidth="1" width="8"/>
    <col min="1223" max="1223" customWidth="1" width="8"/>
    <col min="1224" max="1224" customWidth="1" width="8"/>
    <col min="1225" max="1225" customWidth="1" width="8"/>
    <col min="1226" max="1226" customWidth="1" width="8"/>
    <col min="1227" max="1227" customWidth="1" width="8"/>
    <col min="1228" max="1228" customWidth="1" width="8"/>
    <col min="1229" max="1229" customWidth="1" width="8"/>
    <col min="1230" max="1230" customWidth="1" width="8"/>
    <col min="1231" max="1231" customWidth="1" width="8"/>
    <col min="1232" max="1232" customWidth="1" width="8"/>
    <col min="1233" max="1233" customWidth="1" width="8"/>
    <col min="1234" max="1234" customWidth="1" width="8"/>
    <col min="1235" max="1235" customWidth="1" width="8"/>
    <col min="1236" max="1236" customWidth="1" width="8"/>
    <col min="1237" max="1237" customWidth="1" width="8"/>
    <col min="1238" max="1238" customWidth="1" width="8"/>
    <col min="1239" max="1239" customWidth="1" width="8"/>
    <col min="1240" max="1240" customWidth="1" width="8"/>
    <col min="1241" max="1241" customWidth="1" width="8"/>
    <col min="1242" max="1242" customWidth="1" width="8"/>
    <col min="1243" max="1243" customWidth="1" width="8"/>
    <col min="1244" max="1244" customWidth="1" width="8"/>
    <col min="1245" max="1245" customWidth="1" width="8"/>
    <col min="1246" max="1246" customWidth="1" width="8"/>
    <col min="1247" max="1247" customWidth="1" width="8"/>
    <col min="1248" max="1248" customWidth="1" width="8"/>
    <col min="1249" max="1249" customWidth="1" width="8"/>
    <col min="1250" max="1250" customWidth="1" width="8"/>
    <col min="1251" max="1251" customWidth="1" width="8"/>
    <col min="1252" max="1252" customWidth="1" width="8"/>
    <col min="1253" max="1253" customWidth="1" width="8"/>
    <col min="1254" max="1254" customWidth="1" width="8"/>
    <col min="1255" max="1255" customWidth="1" width="8"/>
    <col min="1256" max="1256" customWidth="1" width="8"/>
    <col min="1257" max="1257" customWidth="1" width="8"/>
    <col min="1258" max="1258" customWidth="1" width="8"/>
    <col min="1259" max="1259" customWidth="1" width="8"/>
    <col min="1260" max="1260" customWidth="1" width="8"/>
    <col min="1261" max="1261" customWidth="1" width="8"/>
    <col min="1262" max="1262" customWidth="1" width="8"/>
    <col min="1263" max="1263" customWidth="1" width="8"/>
    <col min="1264" max="1264" customWidth="1" width="8"/>
    <col min="1265" max="1265" customWidth="1" width="8"/>
    <col min="1266" max="1266" customWidth="1" width="8"/>
    <col min="1267" max="1267" customWidth="1" width="8"/>
    <col min="1268" max="1268" customWidth="1" width="8"/>
    <col min="1269" max="1269" customWidth="1" width="8"/>
    <col min="1270" max="1270" customWidth="1" width="8"/>
    <col min="1271" max="1271" customWidth="1" width="8"/>
    <col min="1272" max="1272" customWidth="1" width="8"/>
    <col min="1273" max="1273" customWidth="1" width="8"/>
    <col min="1274" max="1274" customWidth="1" width="8"/>
    <col min="1275" max="1275" customWidth="1" width="8"/>
    <col min="1276" max="1276" customWidth="1" width="8"/>
    <col min="1277" max="1277" customWidth="1" width="8"/>
    <col min="1278" max="1278" customWidth="1" width="8"/>
    <col min="1279" max="1279" customWidth="1" width="8"/>
    <col min="1280" max="1280" customWidth="1" width="8"/>
    <col min="1281" max="1281" customWidth="1" width="8"/>
    <col min="1282" max="1282" customWidth="1" width="8"/>
    <col min="1283" max="1283" customWidth="1" width="8"/>
    <col min="1284" max="1284" customWidth="1" width="8"/>
    <col min="1285" max="1285" customWidth="1" width="8"/>
    <col min="1286" max="1286" customWidth="1" width="8"/>
    <col min="1287" max="1287" customWidth="1" width="8"/>
    <col min="1288" max="1288" customWidth="1" width="8"/>
    <col min="1289" max="1289" customWidth="1" width="8"/>
    <col min="1290" max="1290" customWidth="1" width="8"/>
    <col min="1291" max="1291" customWidth="1" width="8"/>
    <col min="1292" max="1292" customWidth="1" width="8"/>
    <col min="1293" max="1293" customWidth="1" width="8"/>
    <col min="1294" max="1294" customWidth="1" width="8"/>
    <col min="1295" max="1295" customWidth="1" width="8"/>
    <col min="1296" max="1296" customWidth="1" width="8"/>
    <col min="1297" max="1297" customWidth="1" width="8"/>
    <col min="1298" max="1298" customWidth="1" width="8"/>
    <col min="1299" max="1299" customWidth="1" width="8"/>
    <col min="1300" max="1300" customWidth="1" width="8"/>
    <col min="1301" max="1301" customWidth="1" width="8"/>
    <col min="1302" max="1302" customWidth="1" width="8"/>
    <col min="1303" max="1303" customWidth="1" width="8"/>
    <col min="1304" max="1304" customWidth="1" width="8"/>
    <col min="1305" max="1305" customWidth="1" width="8"/>
    <col min="1306" max="1306" customWidth="1" width="8"/>
    <col min="1307" max="1307" customWidth="1" width="8"/>
    <col min="1308" max="1308" customWidth="1" width="8"/>
    <col min="1309" max="1309" customWidth="1" width="8"/>
    <col min="1310" max="1310" customWidth="1" width="8"/>
    <col min="1311" max="1311" customWidth="1" width="8"/>
    <col min="1312" max="1312" customWidth="1" width="8"/>
    <col min="1313" max="1313" customWidth="1" width="8"/>
    <col min="1314" max="1314" customWidth="1" width="8"/>
    <col min="1315" max="1315" customWidth="1" width="8"/>
    <col min="1316" max="1316" customWidth="1" width="8"/>
    <col min="1317" max="1317" customWidth="1" width="8"/>
    <col min="1318" max="1318" customWidth="1" width="8"/>
    <col min="1319" max="1319" customWidth="1" width="8"/>
    <col min="1320" max="1320" customWidth="1" width="8"/>
    <col min="1321" max="1321" customWidth="1" width="8"/>
    <col min="1322" max="1322" customWidth="1" width="8"/>
    <col min="1323" max="1323" customWidth="1" width="8"/>
    <col min="1324" max="1324" customWidth="1" width="8"/>
    <col min="1325" max="1325" customWidth="1" width="8"/>
    <col min="1326" max="1326" customWidth="1" width="8"/>
    <col min="1327" max="1327" customWidth="1" width="8"/>
    <col min="1328" max="1328" customWidth="1" width="8"/>
    <col min="1329" max="1329" customWidth="1" width="8"/>
    <col min="1330" max="1330" customWidth="1" width="8"/>
    <col min="1331" max="1331" customWidth="1" width="8"/>
    <col min="1332" max="1332" customWidth="1" width="8"/>
    <col min="1333" max="1333" customWidth="1" width="8"/>
    <col min="1334" max="1334" customWidth="1" width="8"/>
    <col min="1335" max="1335" customWidth="1" width="8"/>
    <col min="1336" max="1336" customWidth="1" width="8"/>
    <col min="1337" max="1337" customWidth="1" width="8"/>
    <col min="1338" max="1338" customWidth="1" width="8"/>
    <col min="1339" max="1339" customWidth="1" width="8"/>
    <col min="1340" max="1340" customWidth="1" width="8"/>
    <col min="1341" max="1341" customWidth="1" width="8"/>
    <col min="1342" max="1342" customWidth="1" width="8"/>
    <col min="1343" max="1343" customWidth="1" width="8"/>
    <col min="1344" max="1344" customWidth="1" width="8"/>
    <col min="1345" max="1345" customWidth="1" width="8"/>
    <col min="1346" max="1346" customWidth="1" width="8"/>
    <col min="1347" max="1347" customWidth="1" width="8"/>
    <col min="1348" max="1348" customWidth="1" width="8"/>
    <col min="1349" max="1349" customWidth="1" width="8"/>
    <col min="1350" max="1350" customWidth="1" width="8"/>
    <col min="1351" max="1351" customWidth="1" width="8"/>
    <col min="1352" max="1352" customWidth="1" width="8"/>
    <col min="1353" max="1353" customWidth="1" width="8"/>
    <col min="1354" max="1354" customWidth="1" width="8"/>
    <col min="1355" max="1355" customWidth="1" width="8"/>
    <col min="1356" max="1356" customWidth="1" width="8"/>
    <col min="1357" max="1357" customWidth="1" width="8"/>
    <col min="1358" max="1358" customWidth="1" width="8"/>
    <col min="1359" max="1359" customWidth="1" width="8"/>
    <col min="1360" max="1360" customWidth="1" width="8"/>
    <col min="1361" max="1361" customWidth="1" width="8"/>
    <col min="1362" max="1362" customWidth="1" width="8"/>
    <col min="1363" max="1363" customWidth="1" width="8"/>
    <col min="1364" max="1364" customWidth="1" width="8"/>
    <col min="1365" max="1365" customWidth="1" width="8"/>
    <col min="1366" max="1366" customWidth="1" width="8"/>
    <col min="1367" max="1367" customWidth="1" width="8"/>
    <col min="1368" max="1368" customWidth="1" width="8"/>
    <col min="1369" max="1369" customWidth="1" width="8"/>
    <col min="1370" max="1370" customWidth="1" width="8"/>
    <col min="1371" max="1371" customWidth="1" width="8"/>
    <col min="1372" max="1372" customWidth="1" width="8"/>
    <col min="1373" max="1373" customWidth="1" width="8"/>
    <col min="1374" max="1374" customWidth="1" width="8"/>
    <col min="1375" max="1375" customWidth="1" width="8"/>
    <col min="1376" max="1376" customWidth="1" width="8"/>
    <col min="1377" max="1377" customWidth="1" width="8"/>
    <col min="1378" max="1378" customWidth="1" width="8"/>
    <col min="1379" max="1379" customWidth="1" width="8"/>
    <col min="1380" max="1380" customWidth="1" width="8"/>
    <col min="1381" max="1381" customWidth="1" width="8"/>
    <col min="1382" max="1382" customWidth="1" width="8"/>
    <col min="1383" max="1383" customWidth="1" width="8"/>
    <col min="1384" max="1384" customWidth="1" width="8"/>
    <col min="1385" max="1385" customWidth="1" width="8"/>
    <col min="1386" max="1386" customWidth="1" width="8"/>
    <col min="1387" max="1387" customWidth="1" width="8"/>
    <col min="1388" max="1388" customWidth="1" width="8"/>
    <col min="1389" max="1389" customWidth="1" width="8"/>
    <col min="1390" max="1390" customWidth="1" width="8"/>
    <col min="1391" max="1391" customWidth="1" width="8"/>
    <col min="1392" max="1392" customWidth="1" width="8"/>
    <col min="1393" max="1393" customWidth="1" width="8"/>
    <col min="1394" max="1394" customWidth="1" width="8"/>
    <col min="1395" max="1395" customWidth="1" width="8"/>
    <col min="1396" max="1396" customWidth="1" width="8"/>
    <col min="1397" max="1397" customWidth="1" width="8"/>
    <col min="1398" max="1398" customWidth="1" width="8"/>
    <col min="1399" max="1399" customWidth="1" width="8"/>
    <col min="1400" max="1400" customWidth="1" width="8"/>
    <col min="1401" max="1401" customWidth="1" width="8"/>
    <col min="1402" max="1402" customWidth="1" width="8"/>
    <col min="1403" max="1403" customWidth="1" width="8"/>
    <col min="1404" max="1404" customWidth="1" width="8"/>
    <col min="1405" max="1405" customWidth="1" width="8"/>
    <col min="1406" max="1406" customWidth="1" width="8"/>
    <col min="1407" max="1407" customWidth="1" width="8"/>
    <col min="1408" max="1408" customWidth="1" width="8"/>
    <col min="1409" max="1409" customWidth="1" width="8"/>
    <col min="1410" max="1410" customWidth="1" width="8"/>
    <col min="1411" max="1411" customWidth="1" width="8"/>
    <col min="1412" max="1412" customWidth="1" width="8"/>
    <col min="1413" max="1413" customWidth="1" width="8"/>
    <col min="1414" max="1414" customWidth="1" width="8"/>
    <col min="1415" max="1415" customWidth="1" width="8"/>
    <col min="1416" max="1416" customWidth="1" width="8"/>
    <col min="1417" max="1417" customWidth="1" width="8"/>
    <col min="1418" max="1418" customWidth="1" width="8"/>
    <col min="1419" max="1419" customWidth="1" width="8"/>
    <col min="1420" max="1420" customWidth="1" width="8"/>
    <col min="1421" max="1421" customWidth="1" width="8"/>
    <col min="1422" max="1422" customWidth="1" width="8"/>
    <col min="1423" max="1423" customWidth="1" width="8"/>
    <col min="1424" max="1424" customWidth="1" width="8"/>
    <col min="1425" max="1425" customWidth="1" width="8"/>
    <col min="1426" max="1426" customWidth="1" width="8"/>
    <col min="1427" max="1427" customWidth="1" width="8"/>
    <col min="1428" max="1428" customWidth="1" width="8"/>
    <col min="1429" max="1429" customWidth="1" width="8"/>
    <col min="1430" max="1430" customWidth="1" width="8"/>
    <col min="1431" max="1431" customWidth="1" width="8"/>
    <col min="1432" max="1432" customWidth="1" width="8"/>
    <col min="1433" max="1433" customWidth="1" width="8"/>
    <col min="1434" max="1434" customWidth="1" width="8"/>
    <col min="1435" max="1435" customWidth="1" width="8"/>
    <col min="1436" max="1436" customWidth="1" width="8"/>
    <col min="1437" max="1437" customWidth="1" width="8"/>
    <col min="1438" max="1438" customWidth="1" width="8"/>
    <col min="1439" max="1439" customWidth="1" width="8"/>
    <col min="1440" max="1440" customWidth="1" width="8"/>
    <col min="1441" max="1441" customWidth="1" width="8"/>
    <col min="1442" max="1442" customWidth="1" width="8"/>
    <col min="1443" max="1443" customWidth="1" width="8"/>
    <col min="1444" max="1444" customWidth="1" width="8"/>
    <col min="1445" max="1445" customWidth="1" width="8"/>
    <col min="1446" max="1446" customWidth="1" width="8"/>
    <col min="1447" max="1447" customWidth="1" width="8"/>
    <col min="1448" max="1448" customWidth="1" width="8"/>
    <col min="1449" max="1449" customWidth="1" width="8"/>
    <col min="1450" max="1450" customWidth="1" width="8"/>
    <col min="1451" max="1451" customWidth="1" width="8"/>
    <col min="1452" max="1452" customWidth="1" width="8"/>
    <col min="1453" max="1453" customWidth="1" width="8"/>
    <col min="1454" max="1454" customWidth="1" width="8"/>
    <col min="1455" max="1455" customWidth="1" width="8"/>
    <col min="1456" max="1456" customWidth="1" width="8"/>
    <col min="1457" max="1457" customWidth="1" width="8"/>
    <col min="1458" max="1458" customWidth="1" width="8"/>
    <col min="1459" max="1459" customWidth="1" width="8"/>
    <col min="1460" max="1460" customWidth="1" width="8"/>
    <col min="1461" max="1461" customWidth="1" width="8"/>
    <col min="1462" max="1462" customWidth="1" width="8"/>
    <col min="1463" max="1463" customWidth="1" width="8"/>
    <col min="1464" max="1464" customWidth="1" width="8"/>
    <col min="1465" max="1465" customWidth="1" width="8"/>
    <col min="1466" max="1466" customWidth="1" width="8"/>
    <col min="1467" max="1467" customWidth="1" width="8"/>
    <col min="1468" max="1468" customWidth="1" width="8"/>
    <col min="1469" max="1469" customWidth="1" width="8"/>
    <col min="1470" max="1470" customWidth="1" width="8"/>
    <col min="1471" max="1471" customWidth="1" width="8"/>
    <col min="1472" max="1472" customWidth="1" width="8"/>
    <col min="1473" max="1473" customWidth="1" width="8"/>
    <col min="1474" max="1474" customWidth="1" width="8"/>
    <col min="1475" max="1475" customWidth="1" width="8"/>
    <col min="1476" max="1476" customWidth="1" width="8"/>
    <col min="1477" max="1477" customWidth="1" width="8"/>
    <col min="1478" max="1478" customWidth="1" width="8"/>
    <col min="1479" max="1479" customWidth="1" width="8"/>
    <col min="1480" max="1480" customWidth="1" width="8"/>
    <col min="1481" max="1481" customWidth="1" width="8"/>
    <col min="1482" max="1482" customWidth="1" width="8"/>
    <col min="1483" max="1483" customWidth="1" width="8"/>
    <col min="1484" max="1484" customWidth="1" width="8"/>
    <col min="1485" max="1485" customWidth="1" width="8"/>
    <col min="1486" max="1486" customWidth="1" width="8"/>
    <col min="1487" max="1487" customWidth="1" width="8"/>
    <col min="1488" max="1488" customWidth="1" width="8"/>
    <col min="1489" max="1489" customWidth="1" width="8"/>
    <col min="1490" max="1490" customWidth="1" width="8"/>
    <col min="1491" max="1491" customWidth="1" width="8"/>
    <col min="1492" max="1492" customWidth="1" width="8"/>
    <col min="1493" max="1493" customWidth="1" width="8"/>
    <col min="1494" max="1494" customWidth="1" width="8"/>
    <col min="1495" max="1495" customWidth="1" width="8"/>
    <col min="1496" max="1496" customWidth="1" width="8"/>
    <col min="1497" max="1497" customWidth="1" width="8"/>
    <col min="1498" max="1498" customWidth="1" width="8"/>
    <col min="1499" max="1499" customWidth="1" width="8"/>
    <col min="1500" max="1500" customWidth="1" width="8"/>
    <col min="1501" max="1501" customWidth="1" width="8"/>
    <col min="1502" max="1502" customWidth="1" width="8"/>
    <col min="1503" max="1503" customWidth="1" width="8"/>
    <col min="1504" max="1504" customWidth="1" width="8"/>
    <col min="1505" max="1505" customWidth="1" width="8"/>
    <col min="1506" max="1506" customWidth="1" width="8"/>
    <col min="1507" max="1507" customWidth="1" width="8"/>
    <col min="1508" max="1508" customWidth="1" width="8"/>
    <col min="1509" max="1509" customWidth="1" width="8"/>
    <col min="1510" max="1510" customWidth="1" width="8"/>
    <col min="1511" max="1511" customWidth="1" width="8"/>
    <col min="1512" max="1512" customWidth="1" width="8"/>
    <col min="1513" max="1513" customWidth="1" width="8"/>
    <col min="1514" max="1514" customWidth="1" width="8"/>
    <col min="1515" max="1515" customWidth="1" width="8"/>
    <col min="1516" max="1516" customWidth="1" width="8"/>
    <col min="1517" max="1517" customWidth="1" width="8"/>
    <col min="1518" max="1518" customWidth="1" width="8"/>
    <col min="1519" max="1519" customWidth="1" width="8"/>
    <col min="1520" max="1520" customWidth="1" width="8"/>
    <col min="1521" max="1521" customWidth="1" width="8"/>
    <col min="1522" max="1522" customWidth="1" width="8"/>
    <col min="1523" max="1523" customWidth="1" width="8"/>
    <col min="1524" max="1524" customWidth="1" width="8"/>
    <col min="1525" max="1525" customWidth="1" width="8"/>
    <col min="1526" max="1526" customWidth="1" width="8"/>
    <col min="1527" max="1527" customWidth="1" width="8"/>
    <col min="1528" max="1528" customWidth="1" width="8"/>
    <col min="1529" max="1529" customWidth="1" width="8"/>
    <col min="1530" max="1530" customWidth="1" width="8"/>
    <col min="1531" max="1531" customWidth="1" width="8"/>
    <col min="1532" max="1532" customWidth="1" width="8"/>
    <col min="1533" max="1533" customWidth="1" width="8"/>
    <col min="1534" max="1534" customWidth="1" width="8"/>
    <col min="1535" max="1535" customWidth="1" width="8"/>
    <col min="1536" max="1536" customWidth="1" width="8"/>
    <col min="1537" max="1537" customWidth="1" width="8"/>
    <col min="1538" max="1538" customWidth="1" width="8"/>
    <col min="1539" max="1539" customWidth="1" width="8"/>
    <col min="1540" max="1540" customWidth="1" width="8"/>
    <col min="1541" max="1541" customWidth="1" width="8"/>
    <col min="1542" max="1542" customWidth="1" width="8"/>
    <col min="1543" max="1543" customWidth="1" width="8"/>
    <col min="1544" max="1544" customWidth="1" width="8"/>
    <col min="1545" max="1545" customWidth="1" width="8"/>
    <col min="1546" max="1546" customWidth="1" width="8"/>
    <col min="1547" max="1547" customWidth="1" width="8"/>
    <col min="1548" max="1548" customWidth="1" width="8"/>
    <col min="1549" max="1549" customWidth="1" width="8"/>
    <col min="1550" max="1550" customWidth="1" width="8"/>
    <col min="1551" max="1551" customWidth="1" width="8"/>
    <col min="1552" max="1552" customWidth="1" width="8"/>
    <col min="1553" max="1553" customWidth="1" width="8"/>
    <col min="1554" max="1554" customWidth="1" width="8"/>
    <col min="1555" max="1555" customWidth="1" width="8"/>
    <col min="1556" max="1556" customWidth="1" width="8"/>
    <col min="1557" max="1557" customWidth="1" width="8"/>
    <col min="1558" max="1558" customWidth="1" width="8"/>
    <col min="1559" max="1559" customWidth="1" width="8"/>
    <col min="1560" max="1560" customWidth="1" width="8"/>
    <col min="1561" max="1561" customWidth="1" width="8"/>
    <col min="1562" max="1562" customWidth="1" width="8"/>
    <col min="1563" max="1563" customWidth="1" width="8"/>
    <col min="1564" max="1564" customWidth="1" width="8"/>
    <col min="1565" max="1565" customWidth="1" width="8"/>
    <col min="1566" max="1566" customWidth="1" width="8"/>
    <col min="1567" max="1567" customWidth="1" width="8"/>
    <col min="1568" max="1568" customWidth="1" width="8"/>
    <col min="1569" max="1569" customWidth="1" width="8"/>
    <col min="1570" max="1570" customWidth="1" width="8"/>
    <col min="1571" max="1571" customWidth="1" width="8"/>
    <col min="1572" max="1572" customWidth="1" width="8"/>
    <col min="1573" max="1573" customWidth="1" width="8"/>
    <col min="1574" max="1574" customWidth="1" width="8"/>
    <col min="1575" max="1575" customWidth="1" width="8"/>
    <col min="1576" max="1576" customWidth="1" width="8"/>
    <col min="1577" max="1577" customWidth="1" width="8"/>
    <col min="1578" max="1578" customWidth="1" width="8"/>
    <col min="1579" max="1579" customWidth="1" width="8"/>
    <col min="1580" max="1580" customWidth="1" width="8"/>
    <col min="1581" max="1581" customWidth="1" width="8"/>
    <col min="1582" max="1582" customWidth="1" width="8"/>
    <col min="1583" max="1583" customWidth="1" width="8"/>
    <col min="1584" max="1584" customWidth="1" width="8"/>
    <col min="1585" max="1585" customWidth="1" width="8"/>
    <col min="1586" max="1586" customWidth="1" width="8"/>
    <col min="1587" max="1587" customWidth="1" width="8"/>
    <col min="1588" max="1588" customWidth="1" width="8"/>
    <col min="1589" max="1589" customWidth="1" width="8"/>
    <col min="1590" max="1590" customWidth="1" width="8"/>
    <col min="1591" max="1591" customWidth="1" width="8"/>
    <col min="1592" max="1592" customWidth="1" width="8"/>
    <col min="1593" max="1593" customWidth="1" width="8"/>
    <col min="1594" max="1594" customWidth="1" width="8"/>
    <col min="1595" max="1595" customWidth="1" width="8"/>
    <col min="1596" max="1596" customWidth="1" width="8"/>
    <col min="1597" max="1597" customWidth="1" width="8"/>
    <col min="1598" max="1598" customWidth="1" width="8"/>
    <col min="1599" max="1599" customWidth="1" width="8"/>
    <col min="1600" max="1600" customWidth="1" width="8"/>
    <col min="1601" max="1601" customWidth="1" width="8"/>
    <col min="1602" max="1602" customWidth="1" width="8"/>
    <col min="1603" max="1603" customWidth="1" width="8"/>
    <col min="1604" max="1604" customWidth="1" width="8"/>
    <col min="1605" max="1605" customWidth="1" width="8"/>
    <col min="1606" max="1606" customWidth="1" width="8"/>
    <col min="1607" max="1607" customWidth="1" width="8"/>
    <col min="1608" max="1608" customWidth="1" width="8"/>
    <col min="1609" max="1609" customWidth="1" width="8"/>
    <col min="1610" max="1610" customWidth="1" width="8"/>
    <col min="1611" max="1611" customWidth="1" width="8"/>
    <col min="1612" max="1612" customWidth="1" width="8"/>
    <col min="1613" max="1613" customWidth="1" width="8"/>
    <col min="1614" max="1614" customWidth="1" width="8"/>
    <col min="1615" max="1615" customWidth="1" width="8"/>
    <col min="1616" max="1616" customWidth="1" width="8"/>
    <col min="1617" max="1617" customWidth="1" width="8"/>
    <col min="1618" max="1618" customWidth="1" width="8"/>
    <col min="1619" max="1619" customWidth="1" width="8"/>
    <col min="1620" max="1620" customWidth="1" width="8"/>
    <col min="1621" max="1621" customWidth="1" width="8"/>
    <col min="1622" max="1622" customWidth="1" width="8"/>
    <col min="1623" max="1623" customWidth="1" width="8"/>
    <col min="1624" max="1624" customWidth="1" width="8"/>
    <col min="1625" max="1625" customWidth="1" width="8"/>
    <col min="1626" max="1626" customWidth="1" width="8"/>
    <col min="1627" max="1627" customWidth="1" width="8"/>
    <col min="1628" max="1628" customWidth="1" width="8"/>
    <col min="1629" max="1629" customWidth="1" width="8"/>
    <col min="1630" max="1630" customWidth="1" width="8"/>
    <col min="1631" max="1631" customWidth="1" width="8"/>
    <col min="1632" max="1632" customWidth="1" width="8"/>
    <col min="1633" max="1633" customWidth="1" width="8"/>
    <col min="1634" max="1634" customWidth="1" width="8"/>
    <col min="1635" max="1635" customWidth="1" width="8"/>
    <col min="1636" max="1636" customWidth="1" width="8"/>
    <col min="1637" max="1637" customWidth="1" width="8"/>
    <col min="1638" max="1638" customWidth="1" width="8"/>
    <col min="1639" max="1639" customWidth="1" width="8"/>
    <col min="1640" max="1640" customWidth="1" width="8"/>
    <col min="1641" max="1641" customWidth="1" width="8"/>
    <col min="1642" max="1642" customWidth="1" width="8"/>
    <col min="1643" max="1643" customWidth="1" width="8"/>
    <col min="1644" max="1644" customWidth="1" width="8"/>
    <col min="1645" max="1645" customWidth="1" width="8"/>
    <col min="1646" max="1646" customWidth="1" width="8"/>
    <col min="1647" max="1647" customWidth="1" width="8"/>
    <col min="1648" max="1648" customWidth="1" width="8"/>
    <col min="1649" max="1649" customWidth="1" width="8"/>
    <col min="1650" max="1650" customWidth="1" width="8"/>
    <col min="1651" max="1651" customWidth="1" width="8"/>
    <col min="1652" max="1652" customWidth="1" width="8"/>
    <col min="1653" max="1653" customWidth="1" width="8"/>
    <col min="1654" max="1654" customWidth="1" width="8"/>
    <col min="1655" max="1655" customWidth="1" width="8"/>
    <col min="1656" max="1656" customWidth="1" width="8"/>
    <col min="1657" max="1657" customWidth="1" width="8"/>
    <col min="1658" max="1658" customWidth="1" width="8"/>
    <col min="1659" max="1659" customWidth="1" width="8"/>
    <col min="1660" max="1660" customWidth="1" width="8"/>
    <col min="1661" max="1661" customWidth="1" width="8"/>
    <col min="1662" max="1662" customWidth="1" width="8"/>
    <col min="1663" max="1663" customWidth="1" width="8"/>
    <col min="1664" max="1664" customWidth="1" width="8"/>
    <col min="1665" max="1665" customWidth="1" width="8"/>
    <col min="1666" max="1666" customWidth="1" width="8"/>
    <col min="1667" max="1667" customWidth="1" width="8"/>
    <col min="1668" max="1668" customWidth="1" width="8"/>
    <col min="1669" max="1669" customWidth="1" width="8"/>
    <col min="1670" max="1670" customWidth="1" width="8"/>
    <col min="1671" max="1671" customWidth="1" width="8"/>
    <col min="1672" max="1672" customWidth="1" width="8"/>
    <col min="1673" max="1673" customWidth="1" width="8"/>
    <col min="1674" max="1674" customWidth="1" width="8"/>
    <col min="1675" max="1675" customWidth="1" width="8"/>
    <col min="1676" max="1676" customWidth="1" width="8"/>
    <col min="1677" max="1677" customWidth="1" width="8"/>
    <col min="1678" max="1678" customWidth="1" width="8"/>
    <col min="1679" max="1679" customWidth="1" width="8"/>
    <col min="1680" max="1680" customWidth="1" width="8"/>
    <col min="1681" max="1681" customWidth="1" width="8"/>
    <col min="1682" max="1682" customWidth="1" width="8"/>
    <col min="1683" max="1683" customWidth="1" width="8"/>
    <col min="1684" max="1684" customWidth="1" width="8"/>
    <col min="1685" max="1685" customWidth="1" width="8"/>
    <col min="1686" max="1686" customWidth="1" width="8"/>
    <col min="1687" max="1687" customWidth="1" width="8"/>
    <col min="1688" max="1688" customWidth="1" width="8"/>
    <col min="1689" max="1689" customWidth="1" width="8"/>
    <col min="1690" max="1690" customWidth="1" width="8"/>
    <col min="1691" max="1691" customWidth="1" width="8"/>
    <col min="1692" max="1692" customWidth="1" width="8"/>
    <col min="1693" max="1693" customWidth="1" width="8"/>
    <col min="1694" max="1694" customWidth="1" width="8"/>
    <col min="1695" max="1695" customWidth="1" width="8"/>
    <col min="1696" max="1696" customWidth="1" width="8"/>
    <col min="1697" max="1697" customWidth="1" width="8"/>
    <col min="1698" max="1698" customWidth="1" width="8"/>
    <col min="1699" max="1699" customWidth="1" width="8"/>
    <col min="1700" max="1700" customWidth="1" width="8"/>
    <col min="1701" max="1701" customWidth="1" width="8"/>
    <col min="1702" max="1702" customWidth="1" width="8"/>
    <col min="1703" max="1703" customWidth="1" width="8"/>
    <col min="1704" max="1704" customWidth="1" width="8"/>
    <col min="1705" max="1705" customWidth="1" width="8"/>
    <col min="1706" max="1706" customWidth="1" width="8"/>
    <col min="1707" max="1707" customWidth="1" width="8"/>
    <col min="1708" max="1708" customWidth="1" width="8"/>
    <col min="1709" max="1709" customWidth="1" width="8"/>
    <col min="1710" max="1710" customWidth="1" width="8"/>
    <col min="1711" max="1711" customWidth="1" width="8"/>
    <col min="1712" max="1712" customWidth="1" width="8"/>
    <col min="1713" max="1713" customWidth="1" width="8"/>
    <col min="1714" max="1714" customWidth="1" width="8"/>
    <col min="1715" max="1715" customWidth="1" width="8"/>
    <col min="1716" max="1716" customWidth="1" width="8"/>
    <col min="1717" max="1717" customWidth="1" width="8"/>
    <col min="1718" max="1718" customWidth="1" width="8"/>
    <col min="1719" max="1719" customWidth="1" width="8"/>
    <col min="1720" max="1720" customWidth="1" width="8"/>
    <col min="1721" max="1721" customWidth="1" width="8"/>
    <col min="1722" max="1722" customWidth="1" width="8"/>
    <col min="1723" max="1723" customWidth="1" width="8"/>
    <col min="1724" max="1724" customWidth="1" width="8"/>
    <col min="1725" max="1725" customWidth="1" width="8"/>
    <col min="1726" max="1726" customWidth="1" width="8"/>
    <col min="1727" max="1727" customWidth="1" width="8"/>
    <col min="1728" max="1728" customWidth="1" width="8"/>
    <col min="1729" max="1729" customWidth="1" width="8"/>
    <col min="1730" max="1730" customWidth="1" width="8"/>
    <col min="1731" max="1731" customWidth="1" width="8"/>
    <col min="1732" max="1732" customWidth="1" width="8"/>
    <col min="1733" max="1733" customWidth="1" width="8"/>
    <col min="1734" max="1734" customWidth="1" width="8"/>
    <col min="1735" max="1735" customWidth="1" width="8"/>
    <col min="1736" max="1736" customWidth="1" width="8"/>
    <col min="1737" max="1737" customWidth="1" width="8"/>
    <col min="1738" max="1738" customWidth="1" width="8"/>
    <col min="1739" max="1739" customWidth="1" width="8"/>
    <col min="1740" max="1740" customWidth="1" width="8"/>
    <col min="1741" max="1741" customWidth="1" width="8"/>
    <col min="1742" max="1742" customWidth="1" width="8"/>
    <col min="1743" max="1743" customWidth="1" width="8"/>
    <col min="1744" max="1744" customWidth="1" width="8"/>
    <col min="1745" max="1745" customWidth="1" width="8"/>
    <col min="1746" max="1746" customWidth="1" width="8"/>
    <col min="1747" max="1747" customWidth="1" width="8"/>
    <col min="1748" max="1748" customWidth="1" width="8"/>
    <col min="1749" max="1749" customWidth="1" width="8"/>
    <col min="1750" max="1750" customWidth="1" width="8"/>
    <col min="1751" max="1751" customWidth="1" width="8"/>
    <col min="1752" max="1752" customWidth="1" width="8"/>
    <col min="1753" max="1753" customWidth="1" width="8"/>
    <col min="1754" max="1754" customWidth="1" width="8"/>
    <col min="1755" max="1755" customWidth="1" width="8"/>
    <col min="1756" max="1756" customWidth="1" width="8"/>
    <col min="1757" max="1757" customWidth="1" width="8"/>
    <col min="1758" max="1758" customWidth="1" width="8"/>
    <col min="1759" max="1759" customWidth="1" width="8"/>
    <col min="1760" max="1760" customWidth="1" width="8"/>
    <col min="1761" max="1761" customWidth="1" width="8"/>
    <col min="1762" max="1762" customWidth="1" width="8"/>
    <col min="1763" max="1763" customWidth="1" width="8"/>
    <col min="1764" max="1764" customWidth="1" width="8"/>
    <col min="1765" max="1765" customWidth="1" width="8"/>
    <col min="1766" max="1766" customWidth="1" width="8"/>
    <col min="1767" max="1767" customWidth="1" width="8"/>
    <col min="1768" max="1768" customWidth="1" width="8"/>
    <col min="1769" max="1769" customWidth="1" width="8"/>
    <col min="1770" max="1770" customWidth="1" width="8"/>
    <col min="1771" max="1771" customWidth="1" width="8"/>
    <col min="1772" max="1772" customWidth="1" width="8"/>
    <col min="1773" max="1773" customWidth="1" width="8"/>
    <col min="1774" max="1774" customWidth="1" width="8"/>
    <col min="1775" max="1775" customWidth="1" width="8"/>
    <col min="1776" max="1776" customWidth="1" width="8"/>
    <col min="1777" max="1777" customWidth="1" width="8"/>
    <col min="1778" max="1778" customWidth="1" width="8"/>
    <col min="1779" max="1779" customWidth="1" width="8"/>
    <col min="1780" max="1780" customWidth="1" width="8"/>
    <col min="1781" max="1781" customWidth="1" width="8"/>
    <col min="1782" max="1782" customWidth="1" width="8"/>
    <col min="1783" max="1783" customWidth="1" width="8"/>
    <col min="1784" max="1784" customWidth="1" width="8"/>
    <col min="1785" max="1785" customWidth="1" width="8"/>
    <col min="1786" max="1786" customWidth="1" width="8"/>
    <col min="1787" max="1787" customWidth="1" width="8"/>
    <col min="1788" max="1788" customWidth="1" width="8"/>
    <col min="1789" max="1789" customWidth="1" width="8"/>
    <col min="1790" max="1790" customWidth="1" width="8"/>
    <col min="1791" max="1791" customWidth="1" width="8"/>
    <col min="1792" max="1792" customWidth="1" width="8"/>
    <col min="1793" max="1793" customWidth="1" width="8"/>
    <col min="1794" max="1794" customWidth="1" width="8"/>
    <col min="1795" max="1795" customWidth="1" width="8"/>
    <col min="1796" max="1796" customWidth="1" width="8"/>
    <col min="1797" max="1797" customWidth="1" width="8"/>
    <col min="1798" max="1798" customWidth="1" width="8"/>
    <col min="1799" max="1799" customWidth="1" width="8"/>
    <col min="1800" max="1800" customWidth="1" width="8"/>
    <col min="1801" max="1801" customWidth="1" width="8"/>
    <col min="1802" max="1802" customWidth="1" width="8"/>
    <col min="1803" max="1803" customWidth="1" width="8"/>
    <col min="1804" max="1804" customWidth="1" width="8"/>
    <col min="1805" max="1805" customWidth="1" width="8"/>
    <col min="1806" max="1806" customWidth="1" width="8"/>
    <col min="1807" max="1807" customWidth="1" width="8"/>
    <col min="1808" max="1808" customWidth="1" width="8"/>
    <col min="1809" max="1809" customWidth="1" width="8"/>
    <col min="1810" max="1810" customWidth="1" width="8"/>
    <col min="1811" max="1811" customWidth="1" width="8"/>
    <col min="1812" max="1812" customWidth="1" width="8"/>
    <col min="1813" max="1813" customWidth="1" width="8"/>
    <col min="1814" max="1814" customWidth="1" width="8"/>
    <col min="1815" max="1815" customWidth="1" width="8"/>
    <col min="1816" max="1816" customWidth="1" width="8"/>
    <col min="1817" max="1817" customWidth="1" width="8"/>
    <col min="1818" max="1818" customWidth="1" width="8"/>
    <col min="1819" max="1819" customWidth="1" width="8"/>
    <col min="1820" max="1820" customWidth="1" width="8"/>
    <col min="1821" max="1821" customWidth="1" width="8"/>
    <col min="1822" max="1822" customWidth="1" width="8"/>
    <col min="1823" max="1823" customWidth="1" width="8"/>
    <col min="1824" max="1824" customWidth="1" width="8"/>
    <col min="1825" max="1825" customWidth="1" width="8"/>
    <col min="1826" max="1826" customWidth="1" width="8"/>
    <col min="1827" max="1827" customWidth="1" width="8"/>
    <col min="1828" max="1828" customWidth="1" width="8"/>
    <col min="1829" max="1829" customWidth="1" width="8"/>
    <col min="1830" max="1830" customWidth="1" width="8"/>
    <col min="1831" max="1831" customWidth="1" width="8"/>
    <col min="1832" max="1832" customWidth="1" width="8"/>
    <col min="1833" max="1833" customWidth="1" width="8"/>
    <col min="1834" max="1834" customWidth="1" width="8"/>
    <col min="1835" max="1835" customWidth="1" width="8"/>
    <col min="1836" max="1836" customWidth="1" width="8"/>
    <col min="1837" max="1837" customWidth="1" width="8"/>
    <col min="1838" max="1838" customWidth="1" width="8"/>
    <col min="1839" max="1839" customWidth="1" width="8"/>
    <col min="1840" max="1840" customWidth="1" width="8"/>
    <col min="1841" max="1841" customWidth="1" width="8"/>
    <col min="1842" max="1842" customWidth="1" width="8"/>
    <col min="1843" max="1843" customWidth="1" width="8"/>
    <col min="1844" max="1844" customWidth="1" width="8"/>
    <col min="1845" max="1845" customWidth="1" width="8"/>
    <col min="1846" max="1846" customWidth="1" width="8"/>
    <col min="1847" max="1847" customWidth="1" width="8"/>
    <col min="1848" max="1848" customWidth="1" width="8"/>
    <col min="1849" max="1849" customWidth="1" width="8"/>
    <col min="1850" max="1850" customWidth="1" width="8"/>
    <col min="1851" max="1851" customWidth="1" width="8"/>
    <col min="1852" max="1852" customWidth="1" width="8"/>
    <col min="1853" max="1853" customWidth="1" width="8"/>
    <col min="1854" max="1854" customWidth="1" width="8"/>
    <col min="1855" max="1855" customWidth="1" width="8"/>
    <col min="1856" max="1856" customWidth="1" width="8"/>
    <col min="1857" max="1857" customWidth="1" width="8"/>
    <col min="1858" max="1858" customWidth="1" width="8"/>
    <col min="1859" max="1859" customWidth="1" width="8"/>
    <col min="1860" max="1860" customWidth="1" width="8"/>
    <col min="1861" max="1861" customWidth="1" width="8"/>
    <col min="1862" max="1862" customWidth="1" width="8"/>
    <col min="1863" max="1863" customWidth="1" width="8"/>
    <col min="1864" max="1864" customWidth="1" width="8"/>
    <col min="1865" max="1865" customWidth="1" width="8"/>
    <col min="1866" max="1866" customWidth="1" width="8"/>
    <col min="1867" max="1867" customWidth="1" width="8"/>
    <col min="1868" max="1868" customWidth="1" width="8"/>
    <col min="1869" max="1869" customWidth="1" width="8"/>
    <col min="1870" max="1870" customWidth="1" width="8"/>
    <col min="1871" max="1871" customWidth="1" width="8"/>
    <col min="1872" max="1872" customWidth="1" width="8"/>
    <col min="1873" max="1873" customWidth="1" width="8"/>
    <col min="1874" max="1874" customWidth="1" width="8"/>
    <col min="1875" max="1875" customWidth="1" width="8"/>
    <col min="1876" max="1876" customWidth="1" width="8"/>
    <col min="1877" max="1877" customWidth="1" width="8"/>
    <col min="1878" max="1878" customWidth="1" width="8"/>
    <col min="1879" max="1879" customWidth="1" width="8"/>
    <col min="1880" max="1880" customWidth="1" width="8"/>
    <col min="1881" max="1881" customWidth="1" width="8"/>
    <col min="1882" max="1882" customWidth="1" width="8"/>
    <col min="1883" max="1883" customWidth="1" width="8"/>
    <col min="1884" max="1884" customWidth="1" width="8"/>
    <col min="1885" max="1885" customWidth="1" width="8"/>
    <col min="1886" max="1886" customWidth="1" width="8"/>
    <col min="1887" max="1887" customWidth="1" width="8"/>
    <col min="1888" max="1888" customWidth="1" width="8"/>
    <col min="1889" max="1889" customWidth="1" width="8"/>
    <col min="1890" max="1890" customWidth="1" width="8"/>
    <col min="1891" max="1891" customWidth="1" width="8"/>
    <col min="1892" max="1892" customWidth="1" width="8"/>
    <col min="1893" max="1893" customWidth="1" width="8"/>
    <col min="1894" max="1894" customWidth="1" width="8"/>
    <col min="1895" max="1895" customWidth="1" width="8"/>
    <col min="1896" max="1896" customWidth="1" width="8"/>
    <col min="1897" max="1897" customWidth="1" width="8"/>
    <col min="1898" max="1898" customWidth="1" width="8"/>
    <col min="1899" max="1899" customWidth="1" width="8"/>
    <col min="1900" max="1900" customWidth="1" width="8"/>
    <col min="1901" max="1901" customWidth="1" width="8"/>
    <col min="1902" max="1902" customWidth="1" width="8"/>
    <col min="1903" max="1903" customWidth="1" width="8"/>
    <col min="1904" max="1904" customWidth="1" width="8"/>
    <col min="1905" max="1905" customWidth="1" width="8"/>
    <col min="1906" max="1906" customWidth="1" width="8"/>
    <col min="1907" max="1907" customWidth="1" width="8"/>
    <col min="1908" max="1908" customWidth="1" width="8"/>
    <col min="1909" max="1909" customWidth="1" width="8"/>
    <col min="1910" max="1910" customWidth="1" width="8"/>
    <col min="1911" max="1911" customWidth="1" width="8"/>
    <col min="1912" max="1912" customWidth="1" width="8"/>
    <col min="1913" max="1913" customWidth="1" width="8"/>
    <col min="1914" max="1914" customWidth="1" width="8"/>
    <col min="1915" max="1915" customWidth="1" width="8"/>
    <col min="1916" max="1916" customWidth="1" width="8"/>
    <col min="1917" max="1917" customWidth="1" width="8"/>
    <col min="1918" max="1918" customWidth="1" width="8"/>
    <col min="1919" max="1919" customWidth="1" width="8"/>
    <col min="1920" max="1920" customWidth="1" width="8"/>
    <col min="1921" max="1921" customWidth="1" width="8"/>
    <col min="1922" max="1922" customWidth="1" width="8"/>
    <col min="1923" max="1923" customWidth="1" width="8"/>
    <col min="1924" max="1924" customWidth="1" width="8"/>
    <col min="1925" max="1925" customWidth="1" width="8"/>
    <col min="1926" max="1926" customWidth="1" width="8"/>
    <col min="1927" max="1927" customWidth="1" width="8"/>
    <col min="1928" max="1928" customWidth="1" width="8"/>
    <col min="1929" max="1929" customWidth="1" width="8"/>
    <col min="1930" max="1930" customWidth="1" width="8"/>
    <col min="1931" max="1931" customWidth="1" width="8"/>
    <col min="1932" max="1932" customWidth="1" width="8"/>
    <col min="1933" max="1933" customWidth="1" width="8"/>
    <col min="1934" max="1934" customWidth="1" width="8"/>
    <col min="1935" max="1935" customWidth="1" width="8"/>
    <col min="1936" max="1936" customWidth="1" width="8"/>
    <col min="1937" max="1937" customWidth="1" width="8"/>
    <col min="1938" max="1938" customWidth="1" width="8"/>
    <col min="1939" max="1939" customWidth="1" width="8"/>
    <col min="1940" max="1940" customWidth="1" width="8"/>
    <col min="1941" max="1941" customWidth="1" width="8"/>
    <col min="1942" max="1942" customWidth="1" width="8"/>
    <col min="1943" max="1943" customWidth="1" width="8"/>
    <col min="1944" max="1944" customWidth="1" width="8"/>
    <col min="1945" max="1945" customWidth="1" width="8"/>
    <col min="1946" max="1946" customWidth="1" width="8"/>
    <col min="1947" max="1947" customWidth="1" width="8"/>
    <col min="1948" max="1948" customWidth="1" width="8"/>
    <col min="1949" max="1949" customWidth="1" width="8"/>
    <col min="1950" max="1950" customWidth="1" width="8"/>
    <col min="1951" max="1951" customWidth="1" width="8"/>
    <col min="1952" max="1952" customWidth="1" width="8"/>
    <col min="1953" max="1953" customWidth="1" width="8"/>
    <col min="1954" max="1954" customWidth="1" width="8"/>
    <col min="1955" max="1955" customWidth="1" width="8"/>
    <col min="1956" max="1956" customWidth="1" width="8"/>
    <col min="1957" max="1957" customWidth="1" width="8"/>
    <col min="1958" max="1958" customWidth="1" width="8"/>
    <col min="1959" max="1959" customWidth="1" width="8"/>
    <col min="1960" max="1960" customWidth="1" width="8"/>
    <col min="1961" max="1961" customWidth="1" width="8"/>
    <col min="1962" max="1962" customWidth="1" width="8"/>
    <col min="1963" max="1963" customWidth="1" width="8"/>
    <col min="1964" max="1964" customWidth="1" width="8"/>
    <col min="1965" max="1965" customWidth="1" width="8"/>
    <col min="1966" max="1966" customWidth="1" width="8"/>
    <col min="1967" max="1967" customWidth="1" width="8"/>
    <col min="1968" max="1968" customWidth="1" width="8"/>
    <col min="1969" max="1969" customWidth="1" width="8"/>
    <col min="1970" max="1970" customWidth="1" width="8"/>
    <col min="1971" max="1971" customWidth="1" width="8"/>
    <col min="1972" max="1972" customWidth="1" width="8"/>
    <col min="1973" max="1973" customWidth="1" width="8"/>
    <col min="1974" max="1974" customWidth="1" width="8"/>
    <col min="1975" max="1975" customWidth="1" width="8"/>
    <col min="1976" max="1976" customWidth="1" width="8"/>
    <col min="1977" max="1977" customWidth="1" width="8"/>
    <col min="1978" max="1978" customWidth="1" width="8"/>
    <col min="1979" max="1979" customWidth="1" width="8"/>
    <col min="1980" max="1980" customWidth="1" width="8"/>
    <col min="1981" max="1981" customWidth="1" width="8"/>
    <col min="1982" max="1982" customWidth="1" width="8"/>
    <col min="1983" max="1983" customWidth="1" width="8"/>
    <col min="1984" max="1984" customWidth="1" width="8"/>
    <col min="1985" max="1985" customWidth="1" width="8"/>
    <col min="1986" max="1986" customWidth="1" width="8"/>
    <col min="1987" max="1987" customWidth="1" width="8"/>
    <col min="1988" max="1988" customWidth="1" width="8"/>
    <col min="1989" max="1989" customWidth="1" width="8"/>
    <col min="1990" max="1990" customWidth="1" width="8"/>
    <col min="1991" max="1991" customWidth="1" width="8"/>
    <col min="1992" max="1992" customWidth="1" width="8"/>
    <col min="1993" max="1993" customWidth="1" width="8"/>
    <col min="1994" max="1994" customWidth="1" width="8"/>
    <col min="1995" max="1995" customWidth="1" width="8"/>
    <col min="1996" max="1996" customWidth="1" width="8"/>
    <col min="1997" max="1997" customWidth="1" width="8"/>
    <col min="1998" max="1998" customWidth="1" width="8"/>
    <col min="1999" max="1999" customWidth="1" width="8"/>
    <col min="2000" max="2000" customWidth="1" width="8"/>
    <col min="2001" max="2001" customWidth="1" width="8"/>
    <col min="2002" max="2002" customWidth="1" width="8"/>
    <col min="2003" max="2003" customWidth="1" width="8"/>
    <col min="2004" max="2004" customWidth="1" width="8"/>
    <col min="2005" max="2005" customWidth="1" width="8"/>
    <col min="2006" max="2006" customWidth="1" width="8"/>
    <col min="2007" max="2007" customWidth="1" width="8"/>
    <col min="2008" max="2008" customWidth="1" width="8"/>
    <col min="2009" max="2009" customWidth="1" width="8"/>
    <col min="2010" max="2010" customWidth="1" width="8"/>
    <col min="2011" max="2011" customWidth="1" width="8"/>
    <col min="2012" max="2012" customWidth="1" width="8"/>
    <col min="2013" max="2013" customWidth="1" width="8"/>
    <col min="2014" max="2014" customWidth="1" width="8"/>
    <col min="2015" max="2015" customWidth="1" width="8"/>
    <col min="2016" max="2016" customWidth="1" width="8"/>
    <col min="2017" max="2017" customWidth="1" width="8"/>
    <col min="2018" max="2018" customWidth="1" width="8"/>
    <col min="2019" max="2019" customWidth="1" width="8"/>
    <col min="2020" max="2020" customWidth="1" width="8"/>
    <col min="2021" max="2021" customWidth="1" width="8"/>
    <col min="2022" max="2022" customWidth="1" width="8"/>
    <col min="2023" max="2023" customWidth="1" width="8"/>
    <col min="2024" max="2024" customWidth="1" width="8"/>
    <col min="2025" max="2025" customWidth="1" width="8"/>
    <col min="2026" max="2026" customWidth="1" width="8"/>
    <col min="2027" max="2027" customWidth="1" width="8"/>
    <col min="2028" max="2028" customWidth="1" width="8"/>
    <col min="2029" max="2029" customWidth="1" width="8"/>
    <col min="2030" max="2030" customWidth="1" width="8"/>
    <col min="2031" max="2031" customWidth="1" width="8"/>
    <col min="2032" max="2032" customWidth="1" width="8"/>
    <col min="2033" max="2033" customWidth="1" width="8"/>
    <col min="2034" max="2034" customWidth="1" width="8"/>
    <col min="2035" max="2035" customWidth="1" width="8"/>
    <col min="2036" max="2036" customWidth="1" width="8"/>
    <col min="2037" max="2037" customWidth="1" width="8"/>
    <col min="2038" max="2038" customWidth="1" width="8"/>
    <col min="2039" max="2039" customWidth="1" width="8"/>
    <col min="2040" max="2040" customWidth="1" width="8"/>
    <col min="2041" max="2041" customWidth="1" width="8"/>
    <col min="2042" max="2042" customWidth="1" width="8"/>
    <col min="2043" max="2043" customWidth="1" width="8"/>
    <col min="2044" max="2044" customWidth="1" width="8"/>
    <col min="2045" max="2045" customWidth="1" width="8"/>
    <col min="2046" max="2046" customWidth="1" width="8"/>
    <col min="2047" max="2047" customWidth="1" width="8"/>
    <col min="2048" max="2048" customWidth="1" width="8"/>
    <col min="2049" max="2049" customWidth="1" width="8"/>
    <col min="2050" max="2050" customWidth="1" width="8"/>
    <col min="2051" max="2051" customWidth="1" width="8"/>
    <col min="2052" max="2052" customWidth="1" width="8"/>
    <col min="2053" max="2053" customWidth="1" width="8"/>
    <col min="2054" max="2054" customWidth="1" width="8"/>
    <col min="2055" max="2055" customWidth="1" width="8"/>
    <col min="2056" max="2056" customWidth="1" width="8"/>
    <col min="2057" max="2057" customWidth="1" width="8"/>
    <col min="2058" max="2058" customWidth="1" width="8"/>
    <col min="2059" max="2059" customWidth="1" width="8"/>
    <col min="2060" max="2060" customWidth="1" width="8"/>
    <col min="2061" max="2061" customWidth="1" width="8"/>
    <col min="2062" max="2062" customWidth="1" width="8"/>
    <col min="2063" max="2063" customWidth="1" width="8"/>
    <col min="2064" max="2064" customWidth="1" width="8"/>
    <col min="2065" max="2065" customWidth="1" width="8"/>
    <col min="2066" max="2066" customWidth="1" width="8"/>
    <col min="2067" max="2067" customWidth="1" width="8"/>
    <col min="2068" max="2068" customWidth="1" width="8"/>
    <col min="2069" max="2069" customWidth="1" width="8"/>
    <col min="2070" max="2070" customWidth="1" width="8"/>
    <col min="2071" max="2071" customWidth="1" width="8"/>
    <col min="2072" max="2072" customWidth="1" width="8"/>
    <col min="2073" max="2073" customWidth="1" width="8"/>
    <col min="2074" max="2074" customWidth="1" width="8"/>
    <col min="2075" max="2075" customWidth="1" width="8"/>
    <col min="2076" max="2076" customWidth="1" width="8"/>
    <col min="2077" max="2077" customWidth="1" width="8"/>
    <col min="2078" max="2078" customWidth="1" width="8"/>
    <col min="2079" max="2079" customWidth="1" width="8"/>
    <col min="2080" max="2080" customWidth="1" width="8"/>
    <col min="2081" max="2081" customWidth="1" width="8"/>
    <col min="2082" max="2082" customWidth="1" width="8"/>
    <col min="2083" max="2083" customWidth="1" width="8"/>
    <col min="2084" max="2084" customWidth="1" width="8"/>
    <col min="2085" max="2085" customWidth="1" width="8"/>
    <col min="2086" max="2086" customWidth="1" width="8"/>
    <col min="2087" max="2087" customWidth="1" width="8"/>
    <col min="2088" max="2088" customWidth="1" width="8"/>
    <col min="2089" max="2089" customWidth="1" width="8"/>
    <col min="2090" max="2090" customWidth="1" width="8"/>
    <col min="2091" max="2091" customWidth="1" width="8"/>
    <col min="2092" max="2092" customWidth="1" width="8"/>
    <col min="2093" max="2093" customWidth="1" width="8"/>
    <col min="2094" max="2094" customWidth="1" width="8"/>
    <col min="2095" max="2095" customWidth="1" width="8"/>
    <col min="2096" max="2096" customWidth="1" width="8"/>
    <col min="2097" max="2097" customWidth="1" width="8"/>
    <col min="2098" max="2098" customWidth="1" width="8"/>
    <col min="2099" max="2099" customWidth="1" width="8"/>
    <col min="2100" max="2100" customWidth="1" width="8"/>
    <col min="2101" max="2101" customWidth="1" width="8"/>
    <col min="2102" max="2102" customWidth="1" width="8"/>
    <col min="2103" max="2103" customWidth="1" width="8"/>
    <col min="2104" max="2104" customWidth="1" width="8"/>
    <col min="2105" max="2105" customWidth="1" width="8"/>
    <col min="2106" max="2106" customWidth="1" width="8"/>
    <col min="2107" max="2107" customWidth="1" width="8"/>
    <col min="2108" max="2108" customWidth="1" width="8"/>
    <col min="2109" max="2109" customWidth="1" width="8"/>
    <col min="2110" max="2110" customWidth="1" width="8"/>
    <col min="2111" max="2111" customWidth="1" width="8"/>
    <col min="2112" max="2112" customWidth="1" width="8"/>
    <col min="2113" max="2113" customWidth="1" width="8"/>
    <col min="2114" max="2114" customWidth="1" width="8"/>
    <col min="2115" max="2115" customWidth="1" width="8"/>
    <col min="2116" max="2116" customWidth="1" width="8"/>
    <col min="2117" max="2117" customWidth="1" width="8"/>
    <col min="2118" max="2118" customWidth="1" width="8"/>
    <col min="2119" max="2119" customWidth="1" width="8"/>
    <col min="2120" max="2120" customWidth="1" width="8"/>
    <col min="2121" max="2121" customWidth="1" width="8"/>
    <col min="2122" max="2122" customWidth="1" width="8"/>
    <col min="2123" max="2123" customWidth="1" width="8"/>
    <col min="2124" max="2124" customWidth="1" width="8"/>
    <col min="2125" max="2125" customWidth="1" width="8"/>
    <col min="2126" max="2126" customWidth="1" width="8"/>
    <col min="2127" max="2127" customWidth="1" width="8"/>
    <col min="2128" max="2128" customWidth="1" width="8"/>
    <col min="2129" max="2129" customWidth="1" width="8"/>
    <col min="2130" max="2130" customWidth="1" width="8"/>
    <col min="2131" max="2131" customWidth="1" width="8"/>
    <col min="2132" max="2132" customWidth="1" width="8"/>
    <col min="2133" max="2133" customWidth="1" width="8"/>
    <col min="2134" max="2134" customWidth="1" width="8"/>
    <col min="2135" max="2135" customWidth="1" width="8"/>
    <col min="2136" max="2136" customWidth="1" width="8"/>
    <col min="2137" max="2137" customWidth="1" width="8"/>
    <col min="2138" max="2138" customWidth="1" width="8"/>
    <col min="2139" max="2139" customWidth="1" width="8"/>
    <col min="2140" max="2140" customWidth="1" width="8"/>
    <col min="2141" max="2141" customWidth="1" width="8"/>
    <col min="2142" max="2142" customWidth="1" width="8"/>
    <col min="2143" max="2143" customWidth="1" width="8"/>
    <col min="2144" max="2144" customWidth="1" width="8"/>
    <col min="2145" max="2145" customWidth="1" width="8"/>
    <col min="2146" max="2146" customWidth="1" width="8"/>
    <col min="2147" max="2147" customWidth="1" width="8"/>
    <col min="2148" max="2148" customWidth="1" width="8"/>
    <col min="2149" max="2149" customWidth="1" width="8"/>
    <col min="2150" max="2150" customWidth="1" width="8"/>
    <col min="2151" max="2151" customWidth="1" width="8"/>
    <col min="2152" max="2152" customWidth="1" width="8"/>
    <col min="2153" max="2153" customWidth="1" width="8"/>
    <col min="2154" max="2154" customWidth="1" width="8"/>
    <col min="2155" max="2155" customWidth="1" width="8"/>
    <col min="2156" max="2156" customWidth="1" width="8"/>
    <col min="2157" max="2157" customWidth="1" width="8"/>
    <col min="2158" max="2158" customWidth="1" width="8"/>
    <col min="2159" max="2159" customWidth="1" width="8"/>
    <col min="2160" max="2160" customWidth="1" width="8"/>
    <col min="2161" max="2161" customWidth="1" width="8"/>
    <col min="2162" max="2162" customWidth="1" width="8"/>
    <col min="2163" max="2163" customWidth="1" width="8"/>
    <col min="2164" max="2164" customWidth="1" width="8"/>
    <col min="2165" max="2165" customWidth="1" width="8"/>
    <col min="2166" max="2166" customWidth="1" width="8"/>
    <col min="2167" max="2167" customWidth="1" width="8"/>
    <col min="2168" max="2168" customWidth="1" width="8"/>
    <col min="2169" max="2169" customWidth="1" width="8"/>
    <col min="2170" max="2170" customWidth="1" width="8"/>
    <col min="2171" max="2171" customWidth="1" width="8"/>
    <col min="2172" max="2172" customWidth="1" width="8"/>
    <col min="2173" max="2173" customWidth="1" width="8"/>
    <col min="2174" max="2174" customWidth="1" width="8"/>
    <col min="2175" max="2175" customWidth="1" width="8"/>
    <col min="2176" max="2176" customWidth="1" width="8"/>
    <col min="2177" max="2177" customWidth="1" width="8"/>
    <col min="2178" max="2178" customWidth="1" width="8"/>
    <col min="2179" max="2179" customWidth="1" width="8"/>
    <col min="2180" max="2180" customWidth="1" width="8"/>
    <col min="2181" max="2181" customWidth="1" width="8"/>
    <col min="2182" max="2182" customWidth="1" width="8"/>
    <col min="2183" max="2183" customWidth="1" width="8"/>
    <col min="2184" max="2184" customWidth="1" width="8"/>
    <col min="2185" max="2185" customWidth="1" width="8"/>
    <col min="2186" max="2186" customWidth="1" width="8"/>
    <col min="2187" max="2187" customWidth="1" width="8"/>
    <col min="2188" max="2188" customWidth="1" width="8"/>
    <col min="2189" max="2189" customWidth="1" width="8"/>
    <col min="2190" max="2190" customWidth="1" width="8"/>
    <col min="2191" max="2191" customWidth="1" width="8"/>
    <col min="2192" max="2192" customWidth="1" width="8"/>
    <col min="2193" max="2193" customWidth="1" width="8"/>
    <col min="2194" max="2194" customWidth="1" width="8"/>
    <col min="2195" max="2195" customWidth="1" width="8"/>
    <col min="2196" max="2196" customWidth="1" width="8"/>
    <col min="2197" max="2197" customWidth="1" width="8"/>
    <col min="2198" max="2198" customWidth="1" width="8"/>
    <col min="2199" max="2199" customWidth="1" width="8"/>
    <col min="2200" max="2200" customWidth="1" width="8"/>
    <col min="2201" max="2201" customWidth="1" width="8"/>
    <col min="2202" max="2202" customWidth="1" width="8"/>
    <col min="2203" max="2203" customWidth="1" width="8"/>
    <col min="2204" max="2204" customWidth="1" width="8"/>
    <col min="2205" max="2205" customWidth="1" width="8"/>
    <col min="2206" max="2206" customWidth="1" width="8"/>
    <col min="2207" max="2207" customWidth="1" width="8"/>
    <col min="2208" max="2208" customWidth="1" width="8"/>
    <col min="2209" max="2209" customWidth="1" width="8"/>
    <col min="2210" max="2210" customWidth="1" width="8"/>
    <col min="2211" max="2211" customWidth="1" width="8"/>
    <col min="2212" max="2212" customWidth="1" width="8"/>
    <col min="2213" max="2213" customWidth="1" width="8"/>
    <col min="2214" max="2214" customWidth="1" width="8"/>
    <col min="2215" max="2215" customWidth="1" width="8"/>
    <col min="2216" max="2216" customWidth="1" width="8"/>
    <col min="2217" max="2217" customWidth="1" width="8"/>
    <col min="2218" max="2218" customWidth="1" width="8"/>
    <col min="2219" max="2219" customWidth="1" width="8"/>
    <col min="2220" max="2220" customWidth="1" width="8"/>
    <col min="2221" max="2221" customWidth="1" width="8"/>
    <col min="2222" max="2222" customWidth="1" width="8"/>
    <col min="2223" max="2223" customWidth="1" width="8"/>
    <col min="2224" max="2224" customWidth="1" width="8"/>
    <col min="2225" max="2225" customWidth="1" width="8"/>
    <col min="2226" max="2226" customWidth="1" width="8"/>
    <col min="2227" max="2227" customWidth="1" width="8"/>
    <col min="2228" max="2228" customWidth="1" width="8"/>
    <col min="2229" max="2229" customWidth="1" width="8"/>
    <col min="2230" max="2230" customWidth="1" width="8"/>
    <col min="2231" max="2231" customWidth="1" width="8"/>
    <col min="2232" max="2232" customWidth="1" width="8"/>
    <col min="2233" max="2233" customWidth="1" width="8"/>
    <col min="2234" max="2234" customWidth="1" width="8"/>
    <col min="2235" max="2235" customWidth="1" width="8"/>
    <col min="2236" max="2236" customWidth="1" width="8"/>
    <col min="2237" max="2237" customWidth="1" width="8"/>
    <col min="2238" max="2238" customWidth="1" width="8"/>
    <col min="2239" max="2239" customWidth="1" width="8"/>
    <col min="2240" max="2240" customWidth="1" width="8"/>
    <col min="2241" max="2241" customWidth="1" width="8"/>
    <col min="2242" max="2242" customWidth="1" width="8"/>
    <col min="2243" max="2243" customWidth="1" width="8"/>
    <col min="2244" max="2244" customWidth="1" width="8"/>
    <col min="2245" max="2245" customWidth="1" width="8"/>
    <col min="2246" max="2246" customWidth="1" width="8"/>
    <col min="2247" max="2247" customWidth="1" width="8"/>
    <col min="2248" max="2248" customWidth="1" width="8"/>
    <col min="2249" max="2249" customWidth="1" width="8"/>
    <col min="2250" max="2250" customWidth="1" width="8"/>
    <col min="2251" max="2251" customWidth="1" width="8"/>
    <col min="2252" max="2252" customWidth="1" width="8"/>
    <col min="2253" max="2253" customWidth="1" width="8"/>
    <col min="2254" max="2254" customWidth="1" width="8"/>
    <col min="2255" max="2255" customWidth="1" width="8"/>
    <col min="2256" max="2256" customWidth="1" width="8"/>
    <col min="2257" max="2257" customWidth="1" width="8"/>
    <col min="2258" max="2258" customWidth="1" width="8"/>
    <col min="2259" max="2259" customWidth="1" width="8"/>
    <col min="2260" max="2260" customWidth="1" width="8"/>
    <col min="2261" max="2261" customWidth="1" width="8"/>
    <col min="2262" max="2262" customWidth="1" width="8"/>
    <col min="2263" max="2263" customWidth="1" width="8"/>
    <col min="2264" max="2264" customWidth="1" width="8"/>
    <col min="2265" max="2265" customWidth="1" width="8"/>
    <col min="2266" max="2266" customWidth="1" width="8"/>
    <col min="2267" max="2267" customWidth="1" width="8"/>
    <col min="2268" max="2268" customWidth="1" width="8"/>
    <col min="2269" max="2269" customWidth="1" width="8"/>
    <col min="2270" max="2270" customWidth="1" width="8"/>
    <col min="2271" max="2271" customWidth="1" width="8"/>
    <col min="2272" max="2272" customWidth="1" width="8"/>
    <col min="2273" max="2273" customWidth="1" width="8"/>
    <col min="2274" max="2274" customWidth="1" width="8"/>
    <col min="2275" max="2275" customWidth="1" width="8"/>
    <col min="2276" max="2276" customWidth="1" width="8"/>
    <col min="2277" max="2277" customWidth="1" width="8"/>
    <col min="2278" max="2278" customWidth="1" width="8"/>
    <col min="2279" max="2279" customWidth="1" width="8"/>
    <col min="2280" max="2280" customWidth="1" width="8"/>
    <col min="2281" max="2281" customWidth="1" width="8"/>
    <col min="2282" max="2282" customWidth="1" width="8"/>
    <col min="2283" max="2283" customWidth="1" width="8"/>
    <col min="2284" max="2284" customWidth="1" width="8"/>
    <col min="2285" max="2285" customWidth="1" width="8"/>
    <col min="2286" max="2286" customWidth="1" width="8"/>
    <col min="2287" max="2287" customWidth="1" width="8"/>
    <col min="2288" max="2288" customWidth="1" width="8"/>
    <col min="2289" max="2289" customWidth="1" width="8"/>
    <col min="2290" max="2290" customWidth="1" width="8"/>
    <col min="2291" max="2291" customWidth="1" width="8"/>
    <col min="2292" max="2292" customWidth="1" width="8"/>
    <col min="2293" max="2293" customWidth="1" width="8"/>
    <col min="2294" max="2294" customWidth="1" width="8"/>
    <col min="2295" max="2295" customWidth="1" width="8"/>
    <col min="2296" max="2296" customWidth="1" width="8"/>
    <col min="2297" max="2297" customWidth="1" width="8"/>
    <col min="2298" max="2298" customWidth="1" width="8"/>
    <col min="2299" max="2299" customWidth="1" width="8"/>
    <col min="2300" max="2300" customWidth="1" width="8"/>
    <col min="2301" max="2301" customWidth="1" width="8"/>
    <col min="2302" max="2302" customWidth="1" width="8"/>
    <col min="2303" max="2303" customWidth="1" width="8"/>
    <col min="2304" max="2304" customWidth="1" width="8"/>
    <col min="2305" max="2305" customWidth="1" width="8"/>
    <col min="2306" max="2306" customWidth="1" width="8"/>
    <col min="2307" max="2307" customWidth="1" width="8"/>
    <col min="2308" max="2308" customWidth="1" width="8"/>
    <col min="2309" max="2309" customWidth="1" width="8"/>
    <col min="2310" max="2310" customWidth="1" width="8"/>
    <col min="2311" max="2311" customWidth="1" width="8"/>
    <col min="2312" max="2312" customWidth="1" width="8"/>
    <col min="2313" max="2313" customWidth="1" width="8"/>
    <col min="2314" max="2314" customWidth="1" width="8"/>
    <col min="2315" max="2315" customWidth="1" width="8"/>
    <col min="2316" max="2316" customWidth="1" width="8"/>
    <col min="2317" max="2317" customWidth="1" width="8"/>
    <col min="2318" max="2318" customWidth="1" width="8"/>
    <col min="2319" max="2319" customWidth="1" width="8"/>
    <col min="2320" max="2320" customWidth="1" width="8"/>
    <col min="2321" max="2321" customWidth="1" width="8"/>
    <col min="2322" max="2322" customWidth="1" width="8"/>
    <col min="2323" max="2323" customWidth="1" width="8"/>
    <col min="2324" max="2324" customWidth="1" width="8"/>
    <col min="2325" max="2325" customWidth="1" width="8"/>
    <col min="2326" max="2326" customWidth="1" width="8"/>
    <col min="2327" max="2327" customWidth="1" width="8"/>
    <col min="2328" max="2328" customWidth="1" width="8"/>
    <col min="2329" max="2329" customWidth="1" width="8"/>
    <col min="2330" max="2330" customWidth="1" width="8"/>
    <col min="2331" max="2331" customWidth="1" width="8"/>
    <col min="2332" max="2332" customWidth="1" width="8"/>
    <col min="2333" max="2333" customWidth="1" width="8"/>
    <col min="2334" max="2334" customWidth="1" width="8"/>
    <col min="2335" max="2335" customWidth="1" width="8"/>
    <col min="2336" max="2336" customWidth="1" width="8"/>
    <col min="2337" max="2337" customWidth="1" width="8"/>
    <col min="2338" max="2338" customWidth="1" width="8"/>
    <col min="2339" max="2339" customWidth="1" width="8"/>
    <col min="2340" max="2340" customWidth="1" width="8"/>
    <col min="2341" max="2341" customWidth="1" width="8"/>
    <col min="2342" max="2342" customWidth="1" width="8"/>
    <col min="2343" max="2343" customWidth="1" width="8"/>
    <col min="2344" max="2344" customWidth="1" width="8"/>
    <col min="2345" max="2345" customWidth="1" width="8"/>
    <col min="2346" max="2346" customWidth="1" width="8"/>
    <col min="2347" max="2347" customWidth="1" width="8"/>
    <col min="2348" max="2348" customWidth="1" width="8"/>
    <col min="2349" max="2349" customWidth="1" width="8"/>
    <col min="2350" max="2350" customWidth="1" width="8"/>
    <col min="2351" max="2351" customWidth="1" width="8"/>
    <col min="2352" max="2352" customWidth="1" width="8"/>
    <col min="2353" max="2353" customWidth="1" width="8"/>
    <col min="2354" max="2354" customWidth="1" width="8"/>
    <col min="2355" max="2355" customWidth="1" width="8"/>
    <col min="2356" max="2356" customWidth="1" width="8"/>
    <col min="2357" max="2357" customWidth="1" width="8"/>
    <col min="2358" max="2358" customWidth="1" width="8"/>
    <col min="2359" max="2359" customWidth="1" width="8"/>
    <col min="2360" max="2360" customWidth="1" width="8"/>
    <col min="2361" max="2361" customWidth="1" width="8"/>
    <col min="2362" max="2362" customWidth="1" width="8"/>
    <col min="2363" max="2363" customWidth="1" width="8"/>
    <col min="2364" max="2364" customWidth="1" width="8"/>
    <col min="2365" max="2365" customWidth="1" width="8"/>
    <col min="2366" max="2366" customWidth="1" width="8"/>
    <col min="2367" max="2367" customWidth="1" width="8"/>
    <col min="2368" max="2368" customWidth="1" width="8"/>
    <col min="2369" max="2369" customWidth="1" width="8"/>
    <col min="2370" max="2370" customWidth="1" width="8"/>
    <col min="2371" max="2371" customWidth="1" width="8"/>
    <col min="2372" max="2372" customWidth="1" width="8"/>
    <col min="2373" max="2373" customWidth="1" width="8"/>
    <col min="2374" max="2374" customWidth="1" width="8"/>
    <col min="2375" max="2375" customWidth="1" width="8"/>
    <col min="2376" max="2376" customWidth="1" width="8"/>
    <col min="2377" max="2377" customWidth="1" width="8"/>
    <col min="2378" max="2378" customWidth="1" width="8"/>
    <col min="2379" max="2379" customWidth="1" width="8"/>
    <col min="2380" max="2380" customWidth="1" width="8"/>
    <col min="2381" max="2381" customWidth="1" width="8"/>
    <col min="2382" max="2382" customWidth="1" width="8"/>
    <col min="2383" max="2383" customWidth="1" width="8"/>
    <col min="2384" max="2384" customWidth="1" width="8"/>
    <col min="2385" max="2385" customWidth="1" width="8"/>
    <col min="2386" max="2386" customWidth="1" width="8"/>
    <col min="2387" max="2387" customWidth="1" width="8"/>
    <col min="2388" max="2388" customWidth="1" width="8"/>
    <col min="2389" max="2389" customWidth="1" width="8"/>
    <col min="2390" max="2390" customWidth="1" width="8"/>
    <col min="2391" max="2391" customWidth="1" width="8"/>
    <col min="2392" max="2392" customWidth="1" width="8"/>
    <col min="2393" max="2393" customWidth="1" width="8"/>
    <col min="2394" max="2394" customWidth="1" width="8"/>
    <col min="2395" max="2395" customWidth="1" width="8"/>
    <col min="2396" max="2396" customWidth="1" width="8"/>
    <col min="2397" max="2397" customWidth="1" width="8"/>
    <col min="2398" max="2398" customWidth="1" width="8"/>
    <col min="2399" max="2399" customWidth="1" width="8"/>
    <col min="2400" max="2400" customWidth="1" width="8"/>
    <col min="2401" max="2401" customWidth="1" width="8"/>
    <col min="2402" max="2402" customWidth="1" width="8"/>
    <col min="2403" max="2403" customWidth="1" width="8"/>
    <col min="2404" max="2404" customWidth="1" width="8"/>
    <col min="2405" max="2405" customWidth="1" width="8"/>
    <col min="2406" max="2406" customWidth="1" width="8"/>
    <col min="2407" max="2407" customWidth="1" width="8"/>
    <col min="2408" max="2408" customWidth="1" width="8"/>
    <col min="2409" max="2409" customWidth="1" width="8"/>
    <col min="2410" max="2410" customWidth="1" width="8"/>
    <col min="2411" max="2411" customWidth="1" width="8"/>
    <col min="2412" max="2412" customWidth="1" width="8"/>
    <col min="2413" max="2413" customWidth="1" width="8"/>
    <col min="2414" max="2414" customWidth="1" width="8"/>
    <col min="2415" max="2415" customWidth="1" width="8"/>
    <col min="2416" max="2416" customWidth="1" width="8"/>
    <col min="2417" max="2417" customWidth="1" width="8"/>
    <col min="2418" max="2418" customWidth="1" width="8"/>
    <col min="2419" max="2419" customWidth="1" width="8"/>
    <col min="2420" max="2420" customWidth="1" width="8"/>
    <col min="2421" max="2421" customWidth="1" width="8"/>
    <col min="2422" max="2422" customWidth="1" width="8"/>
    <col min="2423" max="2423" customWidth="1" width="8"/>
    <col min="2424" max="2424" customWidth="1" width="8"/>
    <col min="2425" max="2425" customWidth="1" width="8"/>
    <col min="2426" max="2426" customWidth="1" width="8"/>
    <col min="2427" max="2427" customWidth="1" width="8"/>
    <col min="2428" max="2428" customWidth="1" width="8"/>
    <col min="2429" max="2429" customWidth="1" width="8"/>
    <col min="2430" max="2430" customWidth="1" width="8"/>
    <col min="2431" max="2431" customWidth="1" width="8"/>
    <col min="2432" max="2432" customWidth="1" width="8"/>
    <col min="2433" max="2433" customWidth="1" width="8"/>
    <col min="2434" max="2434" customWidth="1" width="8"/>
    <col min="2435" max="2435" customWidth="1" width="8"/>
    <col min="2436" max="2436" customWidth="1" width="8"/>
    <col min="2437" max="2437" customWidth="1" width="8"/>
    <col min="2438" max="2438" customWidth="1" width="8"/>
    <col min="2439" max="2439" customWidth="1" width="8"/>
    <col min="2440" max="2440" customWidth="1" width="8"/>
    <col min="2441" max="2441" customWidth="1" width="8"/>
    <col min="2442" max="2442" customWidth="1" width="8"/>
    <col min="2443" max="2443" customWidth="1" width="8"/>
    <col min="2444" max="2444" customWidth="1" width="8"/>
    <col min="2445" max="2445" customWidth="1" width="8"/>
    <col min="2446" max="2446" customWidth="1" width="8"/>
    <col min="2447" max="2447" customWidth="1" width="8"/>
    <col min="2448" max="2448" customWidth="1" width="8"/>
    <col min="2449" max="2449" customWidth="1" width="8"/>
    <col min="2450" max="2450" customWidth="1" width="8"/>
    <col min="2451" max="2451" customWidth="1" width="8"/>
    <col min="2452" max="2452" customWidth="1" width="8"/>
    <col min="2453" max="2453" customWidth="1" width="8"/>
    <col min="2454" max="2454" customWidth="1" width="8"/>
    <col min="2455" max="2455" customWidth="1" width="8"/>
    <col min="2456" max="2456" customWidth="1" width="8"/>
    <col min="2457" max="2457" customWidth="1" width="8"/>
    <col min="2458" max="2458" customWidth="1" width="8"/>
    <col min="2459" max="2459" customWidth="1" width="8"/>
    <col min="2460" max="2460" customWidth="1" width="8"/>
    <col min="2461" max="2461" customWidth="1" width="8"/>
    <col min="2462" max="2462" customWidth="1" width="8"/>
    <col min="2463" max="2463" customWidth="1" width="8"/>
    <col min="2464" max="2464" customWidth="1" width="8"/>
    <col min="2465" max="2465" customWidth="1" width="8"/>
    <col min="2466" max="2466" customWidth="1" width="8"/>
    <col min="2467" max="2467" customWidth="1" width="8"/>
    <col min="2468" max="2468" customWidth="1" width="8"/>
    <col min="2469" max="2469" customWidth="1" width="8"/>
    <col min="2470" max="2470" customWidth="1" width="8"/>
    <col min="2471" max="2471" customWidth="1" width="8"/>
    <col min="2472" max="2472" customWidth="1" width="8"/>
    <col min="2473" max="2473" customWidth="1" width="8"/>
    <col min="2474" max="2474" customWidth="1" width="8"/>
    <col min="2475" max="2475" customWidth="1" width="8"/>
    <col min="2476" max="2476" customWidth="1" width="8"/>
    <col min="2477" max="2477" customWidth="1" width="8"/>
    <col min="2478" max="2478" customWidth="1" width="8"/>
    <col min="2479" max="2479" customWidth="1" width="8"/>
    <col min="2480" max="2480" customWidth="1" width="8"/>
    <col min="2481" max="2481" customWidth="1" width="8"/>
    <col min="2482" max="2482" customWidth="1" width="8"/>
    <col min="2483" max="2483" customWidth="1" width="8"/>
    <col min="2484" max="2484" customWidth="1" width="8"/>
    <col min="2485" max="2485" customWidth="1" width="8"/>
    <col min="2486" max="2486" customWidth="1" width="8"/>
    <col min="2487" max="2487" customWidth="1" width="8"/>
    <col min="2488" max="2488" customWidth="1" width="8"/>
    <col min="2489" max="2489" customWidth="1" width="8"/>
    <col min="2490" max="2490" customWidth="1" width="8"/>
    <col min="2491" max="2491" customWidth="1" width="8"/>
    <col min="2492" max="2492" customWidth="1" width="8"/>
    <col min="2493" max="2493" customWidth="1" width="8"/>
    <col min="2494" max="2494" customWidth="1" width="8"/>
    <col min="2495" max="2495" customWidth="1" width="8"/>
    <col min="2496" max="2496" customWidth="1" width="8"/>
    <col min="2497" max="2497" customWidth="1" width="8"/>
    <col min="2498" max="2498" customWidth="1" width="8"/>
    <col min="2499" max="2499" customWidth="1" width="8"/>
    <col min="2500" max="2500" customWidth="1" width="8"/>
    <col min="2501" max="2501" customWidth="1" width="8"/>
    <col min="2502" max="2502" customWidth="1" width="8"/>
    <col min="2503" max="2503" customWidth="1" width="8"/>
    <col min="2504" max="2504" customWidth="1" width="8"/>
    <col min="2505" max="2505" customWidth="1" width="8"/>
    <col min="2506" max="2506" customWidth="1" width="8"/>
    <col min="2507" max="2507" customWidth="1" width="8"/>
    <col min="2508" max="2508" customWidth="1" width="8"/>
    <col min="2509" max="2509" customWidth="1" width="8"/>
    <col min="2510" max="2510" customWidth="1" width="8"/>
    <col min="2511" max="2511" customWidth="1" width="8"/>
    <col min="2512" max="2512" customWidth="1" width="8"/>
    <col min="2513" max="2513" customWidth="1" width="8"/>
    <col min="2514" max="2514" customWidth="1" width="8"/>
    <col min="2515" max="2515" customWidth="1" width="8"/>
    <col min="2516" max="2516" customWidth="1" width="8"/>
    <col min="2517" max="2517" customWidth="1" width="8"/>
    <col min="2518" max="2518" customWidth="1" width="8"/>
    <col min="2519" max="2519" customWidth="1" width="8"/>
    <col min="2520" max="2520" customWidth="1" width="8"/>
    <col min="2521" max="2521" customWidth="1" width="8"/>
    <col min="2522" max="2522" customWidth="1" width="8"/>
    <col min="2523" max="2523" customWidth="1" width="8"/>
    <col min="2524" max="2524" customWidth="1" width="8"/>
    <col min="2525" max="2525" customWidth="1" width="8"/>
    <col min="2526" max="2526" customWidth="1" width="8"/>
    <col min="2527" max="2527" customWidth="1" width="8"/>
    <col min="2528" max="2528" customWidth="1" width="8"/>
    <col min="2529" max="2529" customWidth="1" width="8"/>
    <col min="2530" max="2530" customWidth="1" width="8"/>
    <col min="2531" max="2531" customWidth="1" width="8"/>
    <col min="2532" max="2532" customWidth="1" width="8"/>
    <col min="2533" max="2533" customWidth="1" width="8"/>
    <col min="2534" max="2534" customWidth="1" width="8"/>
    <col min="2535" max="2535" customWidth="1" width="8"/>
    <col min="2536" max="2536" customWidth="1" width="8"/>
    <col min="2537" max="2537" customWidth="1" width="8"/>
    <col min="2538" max="2538" customWidth="1" width="8"/>
    <col min="2539" max="2539" customWidth="1" width="8"/>
    <col min="2540" max="2540" customWidth="1" width="8"/>
    <col min="2541" max="2541" customWidth="1" width="8"/>
    <col min="2542" max="2542" customWidth="1" width="8"/>
    <col min="2543" max="2543" customWidth="1" width="8"/>
    <col min="2544" max="2544" customWidth="1" width="8"/>
    <col min="2545" max="2545" customWidth="1" width="8"/>
    <col min="2546" max="2546" customWidth="1" width="8"/>
    <col min="2547" max="2547" customWidth="1" width="8"/>
    <col min="2548" max="2548" customWidth="1" width="8"/>
    <col min="2549" max="2549" customWidth="1" width="8"/>
    <col min="2550" max="2550" customWidth="1" width="8"/>
    <col min="2551" max="2551" customWidth="1" width="8"/>
    <col min="2552" max="2552" customWidth="1" width="8"/>
    <col min="2553" max="2553" customWidth="1" width="8"/>
    <col min="2554" max="2554" customWidth="1" width="8"/>
    <col min="2555" max="2555" customWidth="1" width="8"/>
    <col min="2556" max="2556" customWidth="1" width="8"/>
    <col min="2557" max="2557" customWidth="1" width="8"/>
    <col min="2558" max="2558" customWidth="1" width="8"/>
    <col min="2559" max="2559" customWidth="1" width="8"/>
    <col min="2560" max="2560" customWidth="1" width="8"/>
    <col min="2561" max="2561" customWidth="1" width="8"/>
    <col min="2562" max="2562" customWidth="1" width="8"/>
    <col min="2563" max="2563" customWidth="1" width="8"/>
    <col min="2564" max="2564" customWidth="1" width="8"/>
    <col min="2565" max="2565" customWidth="1" width="8"/>
    <col min="2566" max="2566" customWidth="1" width="8"/>
    <col min="2567" max="2567" customWidth="1" width="8"/>
    <col min="2568" max="2568" customWidth="1" width="8"/>
    <col min="2569" max="2569" customWidth="1" width="8"/>
    <col min="2570" max="2570" customWidth="1" width="8"/>
    <col min="2571" max="2571" customWidth="1" width="8"/>
    <col min="2572" max="2572" customWidth="1" width="8"/>
    <col min="2573" max="2573" customWidth="1" width="8"/>
    <col min="2574" max="2574" customWidth="1" width="8"/>
    <col min="2575" max="2575" customWidth="1" width="8"/>
    <col min="2576" max="2576" customWidth="1" width="8"/>
    <col min="2577" max="2577" customWidth="1" width="8"/>
    <col min="2578" max="2578" customWidth="1" width="8"/>
    <col min="2579" max="2579" customWidth="1" width="8"/>
    <col min="2580" max="2580" customWidth="1" width="8"/>
    <col min="2581" max="2581" customWidth="1" width="8"/>
    <col min="2582" max="2582" customWidth="1" width="8"/>
    <col min="2583" max="2583" customWidth="1" width="8"/>
    <col min="2584" max="2584" customWidth="1" width="8"/>
    <col min="2585" max="2585" customWidth="1" width="8"/>
    <col min="2586" max="2586" customWidth="1" width="8"/>
    <col min="2587" max="2587" customWidth="1" width="8"/>
    <col min="2588" max="2588" customWidth="1" width="8"/>
    <col min="2589" max="2589" customWidth="1" width="8"/>
    <col min="2590" max="2590" customWidth="1" width="8"/>
    <col min="2591" max="2591" customWidth="1" width="8"/>
    <col min="2592" max="2592" customWidth="1" width="8"/>
    <col min="2593" max="2593" customWidth="1" width="8"/>
    <col min="2594" max="2594" customWidth="1" width="8"/>
    <col min="2595" max="2595" customWidth="1" width="8"/>
    <col min="2596" max="2596" customWidth="1" width="8"/>
    <col min="2597" max="2597" customWidth="1" width="8"/>
    <col min="2598" max="2598" customWidth="1" width="8"/>
    <col min="2599" max="2599" customWidth="1" width="8"/>
    <col min="2600" max="2600" customWidth="1" width="8"/>
    <col min="2601" max="2601" customWidth="1" width="8"/>
    <col min="2602" max="2602" customWidth="1" width="8"/>
    <col min="2603" max="2603" customWidth="1" width="8"/>
    <col min="2604" max="2604" customWidth="1" width="8"/>
    <col min="2605" max="2605" customWidth="1" width="8"/>
    <col min="2606" max="2606" customWidth="1" width="8"/>
    <col min="2607" max="2607" customWidth="1" width="8"/>
    <col min="2608" max="2608" customWidth="1" width="8"/>
    <col min="2609" max="2609" customWidth="1" width="8"/>
    <col min="2610" max="2610" customWidth="1" width="8"/>
    <col min="2611" max="2611" customWidth="1" width="8"/>
    <col min="2612" max="2612" customWidth="1" width="8"/>
    <col min="2613" max="2613" customWidth="1" width="8"/>
    <col min="2614" max="2614" customWidth="1" width="8"/>
    <col min="2615" max="2615" customWidth="1" width="8"/>
    <col min="2616" max="2616" customWidth="1" width="8"/>
    <col min="2617" max="2617" customWidth="1" width="8"/>
    <col min="2618" max="2618" customWidth="1" width="8"/>
    <col min="2619" max="2619" customWidth="1" width="8"/>
    <col min="2620" max="2620" customWidth="1" width="8"/>
    <col min="2621" max="2621" customWidth="1" width="8"/>
    <col min="2622" max="2622" customWidth="1" width="8"/>
    <col min="2623" max="2623" customWidth="1" width="8"/>
    <col min="2624" max="2624" customWidth="1" width="8"/>
    <col min="2625" max="2625" customWidth="1" width="8"/>
    <col min="2626" max="2626" customWidth="1" width="8"/>
    <col min="2627" max="2627" customWidth="1" width="8"/>
    <col min="2628" max="2628" customWidth="1" width="8"/>
    <col min="2629" max="2629" customWidth="1" width="8"/>
    <col min="2630" max="2630" customWidth="1" width="8"/>
    <col min="2631" max="2631" customWidth="1" width="8"/>
    <col min="2632" max="2632" customWidth="1" width="8"/>
    <col min="2633" max="2633" customWidth="1" width="8"/>
    <col min="2634" max="2634" customWidth="1" width="8"/>
    <col min="2635" max="2635" customWidth="1" width="8"/>
    <col min="2636" max="2636" customWidth="1" width="8"/>
    <col min="2637" max="2637" customWidth="1" width="8"/>
    <col min="2638" max="2638" customWidth="1" width="8"/>
    <col min="2639" max="2639" customWidth="1" width="8"/>
    <col min="2640" max="2640" customWidth="1" width="8"/>
    <col min="2641" max="2641" customWidth="1" width="8"/>
    <col min="2642" max="2642" customWidth="1" width="8"/>
    <col min="2643" max="2643" customWidth="1" width="8"/>
    <col min="2644" max="2644" customWidth="1" width="8"/>
    <col min="2645" max="2645" customWidth="1" width="8"/>
    <col min="2646" max="2646" customWidth="1" width="8"/>
    <col min="2647" max="2647" customWidth="1" width="8"/>
    <col min="2648" max="2648" customWidth="1" width="8"/>
    <col min="2649" max="2649" customWidth="1" width="8"/>
    <col min="2650" max="2650" customWidth="1" width="8"/>
    <col min="2651" max="2651" customWidth="1" width="8"/>
    <col min="2652" max="2652" customWidth="1" width="8"/>
    <col min="2653" max="2653" customWidth="1" width="8"/>
    <col min="2654" max="2654" customWidth="1" width="8"/>
    <col min="2655" max="2655" customWidth="1" width="8"/>
    <col min="2656" max="2656" customWidth="1" width="8"/>
    <col min="2657" max="2657" customWidth="1" width="8"/>
    <col min="2658" max="2658" customWidth="1" width="8"/>
    <col min="2659" max="2659" customWidth="1" width="8"/>
    <col min="2660" max="2660" customWidth="1" width="8"/>
    <col min="2661" max="2661" customWidth="1" width="8"/>
    <col min="2662" max="2662" customWidth="1" width="8"/>
    <col min="2663" max="2663" customWidth="1" width="8"/>
    <col min="2664" max="2664" customWidth="1" width="8"/>
    <col min="2665" max="2665" customWidth="1" width="8"/>
    <col min="2666" max="2666" customWidth="1" width="8"/>
    <col min="2667" max="2667" customWidth="1" width="8"/>
    <col min="2668" max="2668" customWidth="1" width="8"/>
    <col min="2669" max="2669" customWidth="1" width="8"/>
    <col min="2670" max="2670" customWidth="1" width="8"/>
    <col min="2671" max="2671" customWidth="1" width="8"/>
    <col min="2672" max="2672" customWidth="1" width="8"/>
    <col min="2673" max="2673" customWidth="1" width="8"/>
    <col min="2674" max="2674" customWidth="1" width="8"/>
    <col min="2675" max="2675" customWidth="1" width="8"/>
    <col min="2676" max="2676" customWidth="1" width="8"/>
    <col min="2677" max="2677" customWidth="1" width="8"/>
    <col min="2678" max="2678" customWidth="1" width="8"/>
    <col min="2679" max="2679" customWidth="1" width="8"/>
    <col min="2680" max="2680" customWidth="1" width="8"/>
    <col min="2681" max="2681" customWidth="1" width="8"/>
    <col min="2682" max="2682" customWidth="1" width="8"/>
    <col min="2683" max="2683" customWidth="1" width="8"/>
    <col min="2684" max="2684" customWidth="1" width="8"/>
    <col min="2685" max="2685" customWidth="1" width="8"/>
    <col min="2686" max="2686" customWidth="1" width="8"/>
    <col min="2687" max="2687" customWidth="1" width="8"/>
    <col min="2688" max="2688" customWidth="1" width="8"/>
    <col min="2689" max="2689" customWidth="1" width="8"/>
    <col min="2690" max="2690" customWidth="1" width="8"/>
    <col min="2691" max="2691" customWidth="1" width="8"/>
    <col min="2692" max="2692" customWidth="1" width="8"/>
    <col min="2693" max="2693" customWidth="1" width="8"/>
    <col min="2694" max="2694" customWidth="1" width="8"/>
    <col min="2695" max="2695" customWidth="1" width="8"/>
    <col min="2696" max="2696" customWidth="1" width="8"/>
    <col min="2697" max="2697" customWidth="1" width="8"/>
    <col min="2698" max="2698" customWidth="1" width="8"/>
    <col min="2699" max="2699" customWidth="1" width="8"/>
    <col min="2700" max="2700" customWidth="1" width="8"/>
    <col min="2701" max="2701" customWidth="1" width="8"/>
    <col min="2702" max="2702" customWidth="1" width="8"/>
    <col min="2703" max="2703" customWidth="1" width="8"/>
    <col min="2704" max="2704" customWidth="1" width="8"/>
    <col min="2705" max="2705" customWidth="1" width="8"/>
    <col min="2706" max="2706" customWidth="1" width="8"/>
    <col min="2707" max="2707" customWidth="1" width="8"/>
    <col min="2708" max="2708" customWidth="1" width="8"/>
    <col min="2709" max="2709" customWidth="1" width="8"/>
    <col min="2710" max="2710" customWidth="1" width="8"/>
    <col min="2711" max="2711" customWidth="1" width="8"/>
    <col min="2712" max="2712" customWidth="1" width="8"/>
    <col min="2713" max="2713" customWidth="1" width="8"/>
    <col min="2714" max="2714" customWidth="1" width="8"/>
    <col min="2715" max="2715" customWidth="1" width="8"/>
    <col min="2716" max="2716" customWidth="1" width="8"/>
    <col min="2717" max="2717" customWidth="1" width="8"/>
    <col min="2718" max="2718" customWidth="1" width="8"/>
    <col min="2719" max="2719" customWidth="1" width="8"/>
    <col min="2720" max="2720" customWidth="1" width="8"/>
    <col min="2721" max="2721" customWidth="1" width="8"/>
    <col min="2722" max="2722" customWidth="1" width="8"/>
    <col min="2723" max="2723" customWidth="1" width="8"/>
    <col min="2724" max="2724" customWidth="1" width="8"/>
    <col min="2725" max="2725" customWidth="1" width="8"/>
    <col min="2726" max="2726" customWidth="1" width="8"/>
    <col min="2727" max="2727" customWidth="1" width="8"/>
    <col min="2728" max="2728" customWidth="1" width="8"/>
    <col min="2729" max="2729" customWidth="1" width="8"/>
    <col min="2730" max="2730" customWidth="1" width="8"/>
    <col min="2731" max="2731" customWidth="1" width="8"/>
    <col min="2732" max="2732" customWidth="1" width="8"/>
    <col min="2733" max="2733" customWidth="1" width="8"/>
    <col min="2734" max="2734" customWidth="1" width="8"/>
    <col min="2735" max="2735" customWidth="1" width="8"/>
    <col min="2736" max="2736" customWidth="1" width="8"/>
    <col min="2737" max="2737" customWidth="1" width="8"/>
    <col min="2738" max="2738" customWidth="1" width="8"/>
    <col min="2739" max="2739" customWidth="1" width="8"/>
    <col min="2740" max="2740" customWidth="1" width="8"/>
    <col min="2741" max="2741" customWidth="1" width="8"/>
    <col min="2742" max="2742" customWidth="1" width="8"/>
    <col min="2743" max="2743" customWidth="1" width="8"/>
    <col min="2744" max="2744" customWidth="1" width="8"/>
    <col min="2745" max="2745" customWidth="1" width="8"/>
    <col min="2746" max="2746" customWidth="1" width="8"/>
    <col min="2747" max="2747" customWidth="1" width="8"/>
    <col min="2748" max="2748" customWidth="1" width="8"/>
    <col min="2749" max="2749" customWidth="1" width="8"/>
    <col min="2750" max="2750" customWidth="1" width="8"/>
    <col min="2751" max="2751" customWidth="1" width="8"/>
    <col min="2752" max="2752" customWidth="1" width="8"/>
    <col min="2753" max="2753" customWidth="1" width="8"/>
    <col min="2754" max="2754" customWidth="1" width="8"/>
    <col min="2755" max="2755" customWidth="1" width="8"/>
    <col min="2756" max="2756" customWidth="1" width="8"/>
    <col min="2757" max="2757" customWidth="1" width="8"/>
    <col min="2758" max="2758" customWidth="1" width="8"/>
    <col min="2759" max="2759" customWidth="1" width="8"/>
    <col min="2760" max="2760" customWidth="1" width="8"/>
    <col min="2761" max="2761" customWidth="1" width="8"/>
    <col min="2762" max="2762" customWidth="1" width="8"/>
    <col min="2763" max="2763" customWidth="1" width="8"/>
    <col min="2764" max="2764" customWidth="1" width="8"/>
    <col min="2765" max="2765" customWidth="1" width="8"/>
    <col min="2766" max="2766" customWidth="1" width="8"/>
    <col min="2767" max="2767" customWidth="1" width="8"/>
    <col min="2768" max="2768" customWidth="1" width="8"/>
    <col min="2769" max="2769" customWidth="1" width="8"/>
    <col min="2770" max="2770" customWidth="1" width="8"/>
    <col min="2771" max="2771" customWidth="1" width="8"/>
    <col min="2772" max="2772" customWidth="1" width="8"/>
    <col min="2773" max="2773" customWidth="1" width="8"/>
    <col min="2774" max="2774" customWidth="1" width="8"/>
    <col min="2775" max="2775" customWidth="1" width="8"/>
    <col min="2776" max="2776" customWidth="1" width="8"/>
    <col min="2777" max="2777" customWidth="1" width="8"/>
    <col min="2778" max="2778" customWidth="1" width="8"/>
    <col min="2779" max="2779" customWidth="1" width="8"/>
    <col min="2780" max="2780" customWidth="1" width="8"/>
    <col min="2781" max="2781" customWidth="1" width="8"/>
    <col min="2782" max="2782" customWidth="1" width="8"/>
    <col min="2783" max="2783" customWidth="1" width="8"/>
    <col min="2784" max="2784" customWidth="1" width="8"/>
    <col min="2785" max="2785" customWidth="1" width="8"/>
    <col min="2786" max="2786" customWidth="1" width="8"/>
    <col min="2787" max="2787" customWidth="1" width="8"/>
    <col min="2788" max="2788" customWidth="1" width="8"/>
    <col min="2789" max="2789" customWidth="1" width="8"/>
    <col min="2790" max="2790" customWidth="1" width="8"/>
    <col min="2791" max="2791" customWidth="1" width="8"/>
    <col min="2792" max="2792" customWidth="1" width="8"/>
    <col min="2793" max="2793" customWidth="1" width="8"/>
    <col min="2794" max="2794" customWidth="1" width="8"/>
    <col min="2795" max="2795" customWidth="1" width="8"/>
    <col min="2796" max="2796" customWidth="1" width="8"/>
    <col min="2797" max="2797" customWidth="1" width="8"/>
    <col min="2798" max="2798" customWidth="1" width="8"/>
    <col min="2799" max="2799" customWidth="1" width="8"/>
    <col min="2800" max="2800" customWidth="1" width="8"/>
    <col min="2801" max="2801" customWidth="1" width="8"/>
    <col min="2802" max="2802" customWidth="1" width="8"/>
    <col min="2803" max="2803" customWidth="1" width="8"/>
    <col min="2804" max="2804" customWidth="1" width="8"/>
    <col min="2805" max="2805" customWidth="1" width="8"/>
    <col min="2806" max="2806" customWidth="1" width="8"/>
    <col min="2807" max="2807" customWidth="1" width="8"/>
    <col min="2808" max="2808" customWidth="1" width="8"/>
    <col min="2809" max="2809" customWidth="1" width="8"/>
    <col min="2810" max="2810" customWidth="1" width="8"/>
    <col min="2811" max="2811" customWidth="1" width="8"/>
    <col min="2812" max="2812" customWidth="1" width="8"/>
    <col min="2813" max="2813" customWidth="1" width="8"/>
    <col min="2814" max="2814" customWidth="1" width="8"/>
    <col min="2815" max="2815" customWidth="1" width="8"/>
    <col min="2816" max="2816" customWidth="1" width="8"/>
    <col min="2817" max="2817" customWidth="1" width="8"/>
    <col min="2818" max="2818" customWidth="1" width="8"/>
    <col min="2819" max="2819" customWidth="1" width="8"/>
    <col min="2820" max="2820" customWidth="1" width="8"/>
    <col min="2821" max="2821" customWidth="1" width="8"/>
    <col min="2822" max="2822" customWidth="1" width="8"/>
    <col min="2823" max="2823" customWidth="1" width="8"/>
    <col min="2824" max="2824" customWidth="1" width="8"/>
    <col min="2825" max="2825" customWidth="1" width="8"/>
    <col min="2826" max="2826" customWidth="1" width="8"/>
    <col min="2827" max="2827" customWidth="1" width="8"/>
    <col min="2828" max="2828" customWidth="1" width="8"/>
    <col min="2829" max="2829" customWidth="1" width="8"/>
    <col min="2830" max="2830" customWidth="1" width="8"/>
    <col min="2831" max="2831" customWidth="1" width="8"/>
    <col min="2832" max="2832" customWidth="1" width="8"/>
    <col min="2833" max="2833" customWidth="1" width="8"/>
    <col min="2834" max="2834" customWidth="1" width="8"/>
    <col min="2835" max="2835" customWidth="1" width="8"/>
    <col min="2836" max="2836" customWidth="1" width="8"/>
    <col min="2837" max="2837" customWidth="1" width="8"/>
    <col min="2838" max="2838" customWidth="1" width="8"/>
    <col min="2839" max="2839" customWidth="1" width="8"/>
    <col min="2840" max="2840" customWidth="1" width="8"/>
    <col min="2841" max="2841" customWidth="1" width="8"/>
    <col min="2842" max="2842" customWidth="1" width="8"/>
    <col min="2843" max="2843" customWidth="1" width="8"/>
    <col min="2844" max="2844" customWidth="1" width="8"/>
    <col min="2845" max="2845" customWidth="1" width="8"/>
    <col min="2846" max="2846" customWidth="1" width="8"/>
    <col min="2847" max="2847" customWidth="1" width="8"/>
    <col min="2848" max="2848" customWidth="1" width="8"/>
    <col min="2849" max="2849" customWidth="1" width="8"/>
    <col min="2850" max="2850" customWidth="1" width="8"/>
    <col min="2851" max="2851" customWidth="1" width="8"/>
    <col min="2852" max="2852" customWidth="1" width="8"/>
    <col min="2853" max="2853" customWidth="1" width="8"/>
    <col min="2854" max="2854" customWidth="1" width="8"/>
    <col min="2855" max="2855" customWidth="1" width="8"/>
    <col min="2856" max="2856" customWidth="1" width="8"/>
    <col min="2857" max="2857" customWidth="1" width="8"/>
    <col min="2858" max="2858" customWidth="1" width="8"/>
    <col min="2859" max="2859" customWidth="1" width="8"/>
    <col min="2860" max="2860" customWidth="1" width="8"/>
    <col min="2861" max="2861" customWidth="1" width="8"/>
    <col min="2862" max="2862" customWidth="1" width="8"/>
    <col min="2863" max="2863" customWidth="1" width="8"/>
    <col min="2864" max="2864" customWidth="1" width="8"/>
    <col min="2865" max="2865" customWidth="1" width="8"/>
    <col min="2866" max="2866" customWidth="1" width="8"/>
    <col min="2867" max="2867" customWidth="1" width="8"/>
    <col min="2868" max="2868" customWidth="1" width="8"/>
    <col min="2869" max="2869" customWidth="1" width="8"/>
    <col min="2870" max="2870" customWidth="1" width="8"/>
    <col min="2871" max="2871" customWidth="1" width="8"/>
    <col min="2872" max="2872" customWidth="1" width="8"/>
    <col min="2873" max="2873" customWidth="1" width="8"/>
    <col min="2874" max="2874" customWidth="1" width="8"/>
    <col min="2875" max="2875" customWidth="1" width="8"/>
    <col min="2876" max="2876" customWidth="1" width="8"/>
    <col min="2877" max="2877" customWidth="1" width="8"/>
    <col min="2878" max="2878" customWidth="1" width="8"/>
    <col min="2879" max="2879" customWidth="1" width="8"/>
    <col min="2880" max="2880" customWidth="1" width="8"/>
    <col min="2881" max="2881" customWidth="1" width="8"/>
    <col min="2882" max="2882" customWidth="1" width="8"/>
    <col min="2883" max="2883" customWidth="1" width="8"/>
    <col min="2884" max="2884" customWidth="1" width="8"/>
    <col min="2885" max="2885" customWidth="1" width="8"/>
    <col min="2886" max="2886" customWidth="1" width="8"/>
    <col min="2887" max="2887" customWidth="1" width="8"/>
    <col min="2888" max="2888" customWidth="1" width="8"/>
    <col min="2889" max="2889" customWidth="1" width="8"/>
    <col min="2890" max="2890" customWidth="1" width="8"/>
    <col min="2891" max="2891" customWidth="1" width="8"/>
    <col min="2892" max="2892" customWidth="1" width="8"/>
    <col min="2893" max="2893" customWidth="1" width="8"/>
    <col min="2894" max="2894" customWidth="1" width="8"/>
    <col min="2895" max="2895" customWidth="1" width="8"/>
    <col min="2896" max="2896" customWidth="1" width="8"/>
    <col min="2897" max="2897" customWidth="1" width="8"/>
    <col min="2898" max="2898" customWidth="1" width="8"/>
    <col min="2899" max="2899" customWidth="1" width="8"/>
    <col min="2900" max="2900" customWidth="1" width="8"/>
    <col min="2901" max="2901" customWidth="1" width="8"/>
    <col min="2902" max="2902" customWidth="1" width="8"/>
    <col min="2903" max="2903" customWidth="1" width="8"/>
    <col min="2904" max="2904" customWidth="1" width="8"/>
    <col min="2905" max="2905" customWidth="1" width="8"/>
    <col min="2906" max="2906" customWidth="1" width="8"/>
    <col min="2907" max="2907" customWidth="1" width="8"/>
    <col min="2908" max="2908" customWidth="1" width="8"/>
    <col min="2909" max="2909" customWidth="1" width="8"/>
    <col min="2910" max="2910" customWidth="1" width="8"/>
    <col min="2911" max="2911" customWidth="1" width="8"/>
    <col min="2912" max="2912" customWidth="1" width="8"/>
    <col min="2913" max="2913" customWidth="1" width="8"/>
    <col min="2914" max="2914" customWidth="1" width="8"/>
    <col min="2915" max="2915" customWidth="1" width="8"/>
    <col min="2916" max="2916" customWidth="1" width="8"/>
    <col min="2917" max="2917" customWidth="1" width="8"/>
    <col min="2918" max="2918" customWidth="1" width="8"/>
    <col min="2919" max="2919" customWidth="1" width="8"/>
    <col min="2920" max="2920" customWidth="1" width="8"/>
    <col min="2921" max="2921" customWidth="1" width="8"/>
    <col min="2922" max="2922" customWidth="1" width="8"/>
    <col min="2923" max="2923" customWidth="1" width="8"/>
    <col min="2924" max="2924" customWidth="1" width="8"/>
    <col min="2925" max="2925" customWidth="1" width="8"/>
    <col min="2926" max="2926" customWidth="1" width="8"/>
    <col min="2927" max="2927" customWidth="1" width="8"/>
    <col min="2928" max="2928" customWidth="1" width="8"/>
    <col min="2929" max="2929" customWidth="1" width="8"/>
    <col min="2930" max="2930" customWidth="1" width="8"/>
    <col min="2931" max="2931" customWidth="1" width="8"/>
    <col min="2932" max="2932" customWidth="1" width="8"/>
    <col min="2933" max="2933" customWidth="1" width="8"/>
    <col min="2934" max="2934" customWidth="1" width="8"/>
    <col min="2935" max="2935" customWidth="1" width="8"/>
    <col min="2936" max="2936" customWidth="1" width="8"/>
    <col min="2937" max="2937" customWidth="1" width="8"/>
    <col min="2938" max="2938" customWidth="1" width="8"/>
    <col min="2939" max="2939" customWidth="1" width="8"/>
    <col min="2940" max="2940" customWidth="1" width="8"/>
    <col min="2941" max="2941" customWidth="1" width="8"/>
    <col min="2942" max="2942" customWidth="1" width="8"/>
    <col min="2943" max="2943" customWidth="1" width="8"/>
    <col min="2944" max="2944" customWidth="1" width="8"/>
    <col min="2945" max="2945" customWidth="1" width="8"/>
    <col min="2946" max="2946" customWidth="1" width="8"/>
    <col min="2947" max="2947" customWidth="1" width="8"/>
    <col min="2948" max="2948" customWidth="1" width="8"/>
    <col min="2949" max="2949" customWidth="1" width="8"/>
    <col min="2950" max="2950" customWidth="1" width="8"/>
    <col min="2951" max="2951" customWidth="1" width="8"/>
    <col min="2952" max="2952" customWidth="1" width="8"/>
    <col min="2953" max="2953" customWidth="1" width="8"/>
    <col min="2954" max="2954" customWidth="1" width="8"/>
    <col min="2955" max="2955" customWidth="1" width="8"/>
    <col min="2956" max="2956" customWidth="1" width="8"/>
    <col min="2957" max="2957" customWidth="1" width="8"/>
    <col min="2958" max="2958" customWidth="1" width="8"/>
    <col min="2959" max="2959" customWidth="1" width="8"/>
    <col min="2960" max="2960" customWidth="1" width="8"/>
    <col min="2961" max="2961" customWidth="1" width="8"/>
    <col min="2962" max="2962" customWidth="1" width="8"/>
    <col min="2963" max="2963" customWidth="1" width="8"/>
    <col min="2964" max="2964" customWidth="1" width="8"/>
    <col min="2965" max="2965" customWidth="1" width="8"/>
    <col min="2966" max="2966" customWidth="1" width="8"/>
    <col min="2967" max="2967" customWidth="1" width="8"/>
    <col min="2968" max="2968" customWidth="1" width="8"/>
    <col min="2969" max="2969" customWidth="1" width="8"/>
    <col min="2970" max="2970" customWidth="1" width="8"/>
    <col min="2971" max="2971" customWidth="1" width="8"/>
    <col min="2972" max="2972" customWidth="1" width="8"/>
    <col min="2973" max="2973" customWidth="1" width="8"/>
    <col min="2974" max="2974" customWidth="1" width="8"/>
    <col min="2975" max="2975" customWidth="1" width="8"/>
    <col min="2976" max="2976" customWidth="1" width="8"/>
    <col min="2977" max="2977" customWidth="1" width="8"/>
    <col min="2978" max="2978" customWidth="1" width="8"/>
    <col min="2979" max="2979" customWidth="1" width="8"/>
    <col min="2980" max="2980" customWidth="1" width="8"/>
    <col min="2981" max="2981" customWidth="1" width="8"/>
    <col min="2982" max="2982" customWidth="1" width="8"/>
    <col min="2983" max="2983" customWidth="1" width="8"/>
    <col min="2984" max="2984" customWidth="1" width="8"/>
    <col min="2985" max="2985" customWidth="1" width="8"/>
    <col min="2986" max="2986" customWidth="1" width="8"/>
    <col min="2987" max="2987" customWidth="1" width="8"/>
    <col min="2988" max="2988" customWidth="1" width="8"/>
    <col min="2989" max="2989" customWidth="1" width="8"/>
    <col min="2990" max="2990" customWidth="1" width="8"/>
    <col min="2991" max="2991" customWidth="1" width="8"/>
    <col min="2992" max="2992" customWidth="1" width="8"/>
    <col min="2993" max="2993" customWidth="1" width="8"/>
    <col min="2994" max="2994" customWidth="1" width="8"/>
    <col min="2995" max="2995" customWidth="1" width="8"/>
    <col min="2996" max="2996" customWidth="1" width="8"/>
    <col min="2997" max="2997" customWidth="1" width="8"/>
    <col min="2998" max="2998" customWidth="1" width="8"/>
    <col min="2999" max="2999" customWidth="1" width="8"/>
    <col min="3000" max="3000" customWidth="1" width="8"/>
    <col min="3001" max="3001" customWidth="1" width="8"/>
    <col min="3002" max="3002" customWidth="1" width="8"/>
    <col min="3003" max="3003" customWidth="1" width="8"/>
    <col min="3004" max="3004" customWidth="1" width="8"/>
    <col min="3005" max="3005" customWidth="1" width="8"/>
    <col min="3006" max="3006" customWidth="1" width="8"/>
    <col min="3007" max="3007" customWidth="1" width="8"/>
    <col min="3008" max="3008" customWidth="1" width="8"/>
    <col min="3009" max="3009" customWidth="1" width="8"/>
    <col min="3010" max="3010" customWidth="1" width="8"/>
    <col min="3011" max="3011" customWidth="1" width="8"/>
    <col min="3012" max="3012" customWidth="1" width="8"/>
    <col min="3013" max="3013" customWidth="1" width="8"/>
    <col min="3014" max="3014" customWidth="1" width="8"/>
    <col min="3015" max="3015" customWidth="1" width="8"/>
    <col min="3016" max="3016" customWidth="1" width="8"/>
    <col min="3017" max="3017" customWidth="1" width="8"/>
    <col min="3018" max="3018" customWidth="1" width="8"/>
    <col min="3019" max="3019" customWidth="1" width="8"/>
    <col min="3020" max="3020" customWidth="1" width="8"/>
    <col min="3021" max="3021" customWidth="1" width="8"/>
    <col min="3022" max="3022" customWidth="1" width="8"/>
    <col min="3023" max="3023" customWidth="1" width="8"/>
    <col min="3024" max="3024" customWidth="1" width="8"/>
    <col min="3025" max="3025" customWidth="1" width="8"/>
    <col min="3026" max="3026" customWidth="1" width="8"/>
    <col min="3027" max="3027" customWidth="1" width="8"/>
    <col min="3028" max="3028" customWidth="1" width="8"/>
    <col min="3029" max="3029" customWidth="1" width="8"/>
    <col min="3030" max="3030" customWidth="1" width="8"/>
    <col min="3031" max="3031" customWidth="1" width="8"/>
    <col min="3032" max="3032" customWidth="1" width="8"/>
    <col min="3033" max="3033" customWidth="1" width="8"/>
    <col min="3034" max="3034" customWidth="1" width="8"/>
    <col min="3035" max="3035" customWidth="1" width="8"/>
    <col min="3036" max="3036" customWidth="1" width="8"/>
    <col min="3037" max="3037" customWidth="1" width="8"/>
    <col min="3038" max="3038" customWidth="1" width="8"/>
    <col min="3039" max="3039" customWidth="1" width="8"/>
    <col min="3040" max="3040" customWidth="1" width="8"/>
    <col min="3041" max="3041" customWidth="1" width="8"/>
    <col min="3042" max="3042" customWidth="1" width="8"/>
    <col min="3043" max="3043" customWidth="1" width="8"/>
    <col min="3044" max="3044" customWidth="1" width="8"/>
    <col min="3045" max="3045" customWidth="1" width="8"/>
    <col min="3046" max="3046" customWidth="1" width="8"/>
    <col min="3047" max="3047" customWidth="1" width="8"/>
    <col min="3048" max="3048" customWidth="1" width="8"/>
    <col min="3049" max="3049" customWidth="1" width="8"/>
    <col min="3050" max="3050" customWidth="1" width="8"/>
    <col min="3051" max="3051" customWidth="1" width="8"/>
    <col min="3052" max="3052" customWidth="1" width="8"/>
    <col min="3053" max="3053" customWidth="1" width="8"/>
    <col min="3054" max="3054" customWidth="1" width="8"/>
    <col min="3055" max="3055" customWidth="1" width="8"/>
    <col min="3056" max="3056" customWidth="1" width="8"/>
    <col min="3057" max="3057" customWidth="1" width="8"/>
    <col min="3058" max="3058" customWidth="1" width="8"/>
    <col min="3059" max="3059" customWidth="1" width="8"/>
    <col min="3060" max="3060" customWidth="1" width="8"/>
    <col min="3061" max="3061" customWidth="1" width="8"/>
    <col min="3062" max="3062" customWidth="1" width="8"/>
    <col min="3063" max="3063" customWidth="1" width="8"/>
    <col min="3064" max="3064" customWidth="1" width="8"/>
    <col min="3065" max="3065" customWidth="1" width="8"/>
    <col min="3066" max="3066" customWidth="1" width="8"/>
    <col min="3067" max="3067" customWidth="1" width="8"/>
    <col min="3068" max="3068" customWidth="1" width="8"/>
    <col min="3069" max="3069" customWidth="1" width="8"/>
    <col min="3070" max="3070" customWidth="1" width="8"/>
    <col min="3071" max="3071" customWidth="1" width="8"/>
    <col min="3072" max="3072" customWidth="1" width="8"/>
    <col min="3073" max="3073" customWidth="1" width="8"/>
    <col min="3074" max="3074" customWidth="1" width="8"/>
    <col min="3075" max="3075" customWidth="1" width="8"/>
    <col min="3076" max="3076" customWidth="1" width="8"/>
    <col min="3077" max="3077" customWidth="1" width="8"/>
    <col min="3078" max="3078" customWidth="1" width="8"/>
    <col min="3079" max="3079" customWidth="1" width="8"/>
    <col min="3080" max="3080" customWidth="1" width="8"/>
    <col min="3081" max="3081" customWidth="1" width="8"/>
    <col min="3082" max="3082" customWidth="1" width="8"/>
    <col min="3083" max="3083" customWidth="1" width="8"/>
    <col min="3084" max="3084" customWidth="1" width="8"/>
    <col min="3085" max="3085" customWidth="1" width="8"/>
    <col min="3086" max="3086" customWidth="1" width="8"/>
    <col min="3087" max="3087" customWidth="1" width="8"/>
    <col min="3088" max="3088" customWidth="1" width="8"/>
    <col min="3089" max="3089" customWidth="1" width="8"/>
    <col min="3090" max="3090" customWidth="1" width="8"/>
    <col min="3091" max="3091" customWidth="1" width="8"/>
    <col min="3092" max="3092" customWidth="1" width="8"/>
    <col min="3093" max="3093" customWidth="1" width="8"/>
    <col min="3094" max="3094" customWidth="1" width="8"/>
    <col min="3095" max="3095" customWidth="1" width="8"/>
    <col min="3096" max="3096" customWidth="1" width="8"/>
    <col min="3097" max="3097" customWidth="1" width="8"/>
    <col min="3098" max="3098" customWidth="1" width="8"/>
    <col min="3099" max="3099" customWidth="1" width="8"/>
    <col min="3100" max="3100" customWidth="1" width="8"/>
    <col min="3101" max="3101" customWidth="1" width="8"/>
    <col min="3102" max="3102" customWidth="1" width="8"/>
    <col min="3103" max="3103" customWidth="1" width="8"/>
    <col min="3104" max="3104" customWidth="1" width="8"/>
    <col min="3105" max="3105" customWidth="1" width="8"/>
    <col min="3106" max="3106" customWidth="1" width="8"/>
    <col min="3107" max="3107" customWidth="1" width="8"/>
    <col min="3108" max="3108" customWidth="1" width="8"/>
    <col min="3109" max="3109" customWidth="1" width="8"/>
    <col min="3110" max="3110" customWidth="1" width="8"/>
    <col min="3111" max="3111" customWidth="1" width="8"/>
    <col min="3112" max="3112" customWidth="1" width="8"/>
    <col min="3113" max="3113" customWidth="1" width="8"/>
    <col min="3114" max="3114" customWidth="1" width="8"/>
    <col min="3115" max="3115" customWidth="1" width="8"/>
    <col min="3116" max="3116" customWidth="1" width="8"/>
    <col min="3117" max="3117" customWidth="1" width="8"/>
    <col min="3118" max="3118" customWidth="1" width="8"/>
    <col min="3119" max="3119" customWidth="1" width="8"/>
    <col min="3120" max="3120" customWidth="1" width="8"/>
    <col min="3121" max="3121" customWidth="1" width="8"/>
    <col min="3122" max="3122" customWidth="1" width="8"/>
    <col min="3123" max="3123" customWidth="1" width="8"/>
    <col min="3124" max="3124" customWidth="1" width="8"/>
    <col min="3125" max="3125" customWidth="1" width="8"/>
    <col min="3126" max="3126" customWidth="1" width="8"/>
    <col min="3127" max="3127" customWidth="1" width="8"/>
    <col min="3128" max="3128" customWidth="1" width="8"/>
    <col min="3129" max="3129" customWidth="1" width="8"/>
    <col min="3130" max="3130" customWidth="1" width="8"/>
    <col min="3131" max="3131" customWidth="1" width="8"/>
    <col min="3132" max="3132" customWidth="1" width="8"/>
    <col min="3133" max="3133" customWidth="1" width="8"/>
    <col min="3134" max="3134" customWidth="1" width="8"/>
    <col min="3135" max="3135" customWidth="1" width="8"/>
    <col min="3136" max="3136" customWidth="1" width="8"/>
    <col min="3137" max="3137" customWidth="1" width="8"/>
    <col min="3138" max="3138" customWidth="1" width="8"/>
    <col min="3139" max="3139" customWidth="1" width="8"/>
    <col min="3140" max="3140" customWidth="1" width="8"/>
    <col min="3141" max="3141" customWidth="1" width="8"/>
    <col min="3142" max="3142" customWidth="1" width="8"/>
    <col min="3143" max="3143" customWidth="1" width="8"/>
    <col min="3144" max="3144" customWidth="1" width="8"/>
    <col min="3145" max="3145" customWidth="1" width="8"/>
    <col min="3146" max="3146" customWidth="1" width="8"/>
    <col min="3147" max="3147" customWidth="1" width="8"/>
    <col min="3148" max="3148" customWidth="1" width="8"/>
    <col min="3149" max="3149" customWidth="1" width="8"/>
    <col min="3150" max="3150" customWidth="1" width="8"/>
    <col min="3151" max="3151" customWidth="1" width="8"/>
    <col min="3152" max="3152" customWidth="1" width="8"/>
    <col min="3153" max="3153" customWidth="1" width="8"/>
    <col min="3154" max="3154" customWidth="1" width="8"/>
    <col min="3155" max="3155" customWidth="1" width="8"/>
    <col min="3156" max="3156" customWidth="1" width="8"/>
    <col min="3157" max="3157" customWidth="1" width="8"/>
    <col min="3158" max="3158" customWidth="1" width="8"/>
    <col min="3159" max="3159" customWidth="1" width="8"/>
    <col min="3160" max="3160" customWidth="1" width="8"/>
    <col min="3161" max="3161" customWidth="1" width="8"/>
    <col min="3162" max="3162" customWidth="1" width="8"/>
    <col min="3163" max="3163" customWidth="1" width="8"/>
    <col min="3164" max="3164" customWidth="1" width="8"/>
    <col min="3165" max="3165" customWidth="1" width="8"/>
    <col min="3166" max="3166" customWidth="1" width="8"/>
    <col min="3167" max="3167" customWidth="1" width="8"/>
    <col min="3168" max="3168" customWidth="1" width="8"/>
    <col min="3169" max="3169" customWidth="1" width="8"/>
    <col min="3170" max="3170" customWidth="1" width="8"/>
    <col min="3171" max="3171" customWidth="1" width="8"/>
    <col min="3172" max="3172" customWidth="1" width="8"/>
    <col min="3173" max="3173" customWidth="1" width="8"/>
    <col min="3174" max="3174" customWidth="1" width="8"/>
    <col min="3175" max="3175" customWidth="1" width="8"/>
    <col min="3176" max="3176" customWidth="1" width="8"/>
    <col min="3177" max="3177" customWidth="1" width="8"/>
    <col min="3178" max="3178" customWidth="1" width="8"/>
    <col min="3179" max="3179" customWidth="1" width="8"/>
    <col min="3180" max="3180" customWidth="1" width="8"/>
    <col min="3181" max="3181" customWidth="1" width="8"/>
    <col min="3182" max="3182" customWidth="1" width="8"/>
    <col min="3183" max="3183" customWidth="1" width="8"/>
    <col min="3184" max="3184" customWidth="1" width="8"/>
    <col min="3185" max="3185" customWidth="1" width="8"/>
    <col min="3186" max="3186" customWidth="1" width="8"/>
    <col min="3187" max="3187" customWidth="1" width="8"/>
    <col min="3188" max="3188" customWidth="1" width="8"/>
    <col min="3189" max="3189" customWidth="1" width="8"/>
    <col min="3190" max="3190" customWidth="1" width="8"/>
    <col min="3191" max="3191" customWidth="1" width="8"/>
    <col min="3192" max="3192" customWidth="1" width="8"/>
    <col min="3193" max="3193" customWidth="1" width="8"/>
    <col min="3194" max="3194" customWidth="1" width="8"/>
    <col min="3195" max="3195" customWidth="1" width="8"/>
    <col min="3196" max="3196" customWidth="1" width="8"/>
    <col min="3197" max="3197" customWidth="1" width="8"/>
    <col min="3198" max="3198" customWidth="1" width="8"/>
    <col min="3199" max="3199" customWidth="1" width="8"/>
    <col min="3200" max="3200" customWidth="1" width="8"/>
    <col min="3201" max="3201" customWidth="1" width="8"/>
    <col min="3202" max="3202" customWidth="1" width="8"/>
    <col min="3203" max="3203" customWidth="1" width="8"/>
    <col min="3204" max="3204" customWidth="1" width="8"/>
    <col min="3205" max="3205" customWidth="1" width="8"/>
    <col min="3206" max="3206" customWidth="1" width="8"/>
    <col min="3207" max="3207" customWidth="1" width="8"/>
    <col min="3208" max="3208" customWidth="1" width="8"/>
    <col min="3209" max="3209" customWidth="1" width="8"/>
    <col min="3210" max="3210" customWidth="1" width="8"/>
    <col min="3211" max="3211" customWidth="1" width="8"/>
    <col min="3212" max="3212" customWidth="1" width="8"/>
    <col min="3213" max="3213" customWidth="1" width="8"/>
    <col min="3214" max="3214" customWidth="1" width="8"/>
    <col min="3215" max="3215" customWidth="1" width="8"/>
    <col min="3216" max="3216" customWidth="1" width="8"/>
    <col min="3217" max="3217" customWidth="1" width="8"/>
    <col min="3218" max="3218" customWidth="1" width="8"/>
    <col min="3219" max="3219" customWidth="1" width="8"/>
    <col min="3220" max="3220" customWidth="1" width="8"/>
    <col min="3221" max="3221" customWidth="1" width="8"/>
    <col min="3222" max="3222" customWidth="1" width="8"/>
    <col min="3223" max="3223" customWidth="1" width="8"/>
    <col min="3224" max="3224" customWidth="1" width="8"/>
    <col min="3225" max="3225" customWidth="1" width="8"/>
    <col min="3226" max="3226" customWidth="1" width="8"/>
    <col min="3227" max="3227" customWidth="1" width="8"/>
    <col min="3228" max="3228" customWidth="1" width="8"/>
    <col min="3229" max="3229" customWidth="1" width="8"/>
    <col min="3230" max="3230" customWidth="1" width="8"/>
    <col min="3231" max="3231" customWidth="1" width="8"/>
    <col min="3232" max="3232" customWidth="1" width="8"/>
    <col min="3233" max="3233" customWidth="1" width="8"/>
    <col min="3234" max="3234" customWidth="1" width="8"/>
    <col min="3235" max="3235" customWidth="1" width="8"/>
    <col min="3236" max="3236" customWidth="1" width="8"/>
    <col min="3237" max="3237" customWidth="1" width="8"/>
    <col min="3238" max="3238" customWidth="1" width="8"/>
    <col min="3239" max="3239" customWidth="1" width="8"/>
    <col min="3240" max="3240" customWidth="1" width="8"/>
    <col min="3241" max="3241" customWidth="1" width="8"/>
    <col min="3242" max="3242" customWidth="1" width="8"/>
    <col min="3243" max="3243" customWidth="1" width="8"/>
    <col min="3244" max="3244" customWidth="1" width="8"/>
    <col min="3245" max="3245" customWidth="1" width="8"/>
    <col min="3246" max="3246" customWidth="1" width="8"/>
    <col min="3247" max="3247" customWidth="1" width="8"/>
    <col min="3248" max="3248" customWidth="1" width="8"/>
    <col min="3249" max="3249" customWidth="1" width="8"/>
    <col min="3250" max="3250" customWidth="1" width="8"/>
    <col min="3251" max="3251" customWidth="1" width="8"/>
    <col min="3252" max="3252" customWidth="1" width="8"/>
    <col min="3253" max="3253" customWidth="1" width="8"/>
    <col min="3254" max="3254" customWidth="1" width="8"/>
    <col min="3255" max="3255" customWidth="1" width="8"/>
    <col min="3256" max="3256" customWidth="1" width="8"/>
    <col min="3257" max="3257" customWidth="1" width="8"/>
    <col min="3258" max="3258" customWidth="1" width="8"/>
    <col min="3259" max="3259" customWidth="1" width="8"/>
    <col min="3260" max="3260" customWidth="1" width="8"/>
    <col min="3261" max="3261" customWidth="1" width="8"/>
    <col min="3262" max="3262" customWidth="1" width="8"/>
    <col min="3263" max="3263" customWidth="1" width="8"/>
    <col min="3264" max="3264" customWidth="1" width="8"/>
    <col min="3265" max="3265" customWidth="1" width="8"/>
    <col min="3266" max="3266" customWidth="1" width="8"/>
    <col min="3267" max="3267" customWidth="1" width="8"/>
    <col min="3268" max="3268" customWidth="1" width="8"/>
    <col min="3269" max="3269" customWidth="1" width="8"/>
    <col min="3270" max="3270" customWidth="1" width="8"/>
    <col min="3271" max="3271" customWidth="1" width="8"/>
    <col min="3272" max="3272" customWidth="1" width="8"/>
    <col min="3273" max="3273" customWidth="1" width="8"/>
    <col min="3274" max="3274" customWidth="1" width="8"/>
    <col min="3275" max="3275" customWidth="1" width="8"/>
    <col min="3276" max="3276" customWidth="1" width="8"/>
    <col min="3277" max="3277" customWidth="1" width="8"/>
    <col min="3278" max="3278" customWidth="1" width="8"/>
    <col min="3279" max="3279" customWidth="1" width="8"/>
    <col min="3280" max="3280" customWidth="1" width="8"/>
    <col min="3281" max="3281" customWidth="1" width="8"/>
    <col min="3282" max="3282" customWidth="1" width="8"/>
    <col min="3283" max="3283" customWidth="1" width="8"/>
    <col min="3284" max="3284" customWidth="1" width="8"/>
    <col min="3285" max="3285" customWidth="1" width="8"/>
    <col min="3286" max="3286" customWidth="1" width="8"/>
    <col min="3287" max="3287" customWidth="1" width="8"/>
    <col min="3288" max="3288" customWidth="1" width="8"/>
    <col min="3289" max="3289" customWidth="1" width="8"/>
    <col min="3290" max="3290" customWidth="1" width="8"/>
    <col min="3291" max="3291" customWidth="1" width="8"/>
    <col min="3292" max="3292" customWidth="1" width="8"/>
    <col min="3293" max="3293" customWidth="1" width="8"/>
    <col min="3294" max="3294" customWidth="1" width="8"/>
    <col min="3295" max="3295" customWidth="1" width="8"/>
    <col min="3296" max="3296" customWidth="1" width="8"/>
    <col min="3297" max="3297" customWidth="1" width="8"/>
    <col min="3298" max="3298" customWidth="1" width="8"/>
    <col min="3299" max="3299" customWidth="1" width="8"/>
    <col min="3300" max="3300" customWidth="1" width="8"/>
    <col min="3301" max="3301" customWidth="1" width="8"/>
    <col min="3302" max="3302" customWidth="1" width="8"/>
    <col min="3303" max="3303" customWidth="1" width="8"/>
    <col min="3304" max="3304" customWidth="1" width="8"/>
    <col min="3305" max="3305" customWidth="1" width="8"/>
    <col min="3306" max="3306" customWidth="1" width="8"/>
    <col min="3307" max="3307" customWidth="1" width="8"/>
    <col min="3308" max="3308" customWidth="1" width="8"/>
    <col min="3309" max="3309" customWidth="1" width="8"/>
    <col min="3310" max="3310" customWidth="1" width="8"/>
    <col min="3311" max="3311" customWidth="1" width="8"/>
    <col min="3312" max="3312" customWidth="1" width="8"/>
    <col min="3313" max="3313" customWidth="1" width="8"/>
    <col min="3314" max="3314" customWidth="1" width="8"/>
    <col min="3315" max="3315" customWidth="1" width="8"/>
    <col min="3316" max="3316" customWidth="1" width="8"/>
    <col min="3317" max="3317" customWidth="1" width="8"/>
    <col min="3318" max="3318" customWidth="1" width="8"/>
    <col min="3319" max="3319" customWidth="1" width="8"/>
    <col min="3320" max="3320" customWidth="1" width="8"/>
    <col min="3321" max="3321" customWidth="1" width="8"/>
    <col min="3322" max="3322" customWidth="1" width="8"/>
    <col min="3323" max="3323" customWidth="1" width="8"/>
    <col min="3324" max="3324" customWidth="1" width="8"/>
    <col min="3325" max="3325" customWidth="1" width="8"/>
    <col min="3326" max="3326" customWidth="1" width="8"/>
    <col min="3327" max="3327" customWidth="1" width="8"/>
    <col min="3328" max="3328" customWidth="1" width="8"/>
    <col min="3329" max="3329" customWidth="1" width="8"/>
    <col min="3330" max="3330" customWidth="1" width="8"/>
    <col min="3331" max="3331" customWidth="1" width="8"/>
    <col min="3332" max="3332" customWidth="1" width="8"/>
    <col min="3333" max="3333" customWidth="1" width="8"/>
    <col min="3334" max="3334" customWidth="1" width="8"/>
    <col min="3335" max="3335" customWidth="1" width="8"/>
    <col min="3336" max="3336" customWidth="1" width="8"/>
    <col min="3337" max="3337" customWidth="1" width="8"/>
    <col min="3338" max="3338" customWidth="1" width="8"/>
    <col min="3339" max="3339" customWidth="1" width="8"/>
    <col min="3340" max="3340" customWidth="1" width="8"/>
    <col min="3341" max="3341" customWidth="1" width="8"/>
    <col min="3342" max="3342" customWidth="1" width="8"/>
    <col min="3343" max="3343" customWidth="1" width="8"/>
    <col min="3344" max="3344" customWidth="1" width="8"/>
    <col min="3345" max="3345" customWidth="1" width="8"/>
    <col min="3346" max="3346" customWidth="1" width="8"/>
    <col min="3347" max="3347" customWidth="1" width="8"/>
    <col min="3348" max="3348" customWidth="1" width="8"/>
    <col min="3349" max="3349" customWidth="1" width="8"/>
    <col min="3350" max="3350" customWidth="1" width="8"/>
    <col min="3351" max="3351" customWidth="1" width="8"/>
    <col min="3352" max="3352" customWidth="1" width="8"/>
    <col min="3353" max="3353" customWidth="1" width="8"/>
    <col min="3354" max="3354" customWidth="1" width="8"/>
    <col min="3355" max="3355" customWidth="1" width="8"/>
    <col min="3356" max="3356" customWidth="1" width="8"/>
    <col min="3357" max="3357" customWidth="1" width="8"/>
    <col min="3358" max="3358" customWidth="1" width="8"/>
    <col min="3359" max="3359" customWidth="1" width="8"/>
    <col min="3360" max="3360" customWidth="1" width="8"/>
    <col min="3361" max="3361" customWidth="1" width="8"/>
    <col min="3362" max="3362" customWidth="1" width="8"/>
    <col min="3363" max="3363" customWidth="1" width="8"/>
    <col min="3364" max="3364" customWidth="1" width="8"/>
    <col min="3365" max="3365" customWidth="1" width="8"/>
    <col min="3366" max="3366" customWidth="1" width="8"/>
    <col min="3367" max="3367" customWidth="1" width="8"/>
    <col min="3368" max="3368" customWidth="1" width="8"/>
    <col min="3369" max="3369" customWidth="1" width="8"/>
    <col min="3370" max="3370" customWidth="1" width="8"/>
    <col min="3371" max="3371" customWidth="1" width="8"/>
    <col min="3372" max="3372" customWidth="1" width="8"/>
    <col min="3373" max="3373" customWidth="1" width="8"/>
    <col min="3374" max="3374" customWidth="1" width="8"/>
    <col min="3375" max="3375" customWidth="1" width="8"/>
    <col min="3376" max="3376" customWidth="1" width="8"/>
    <col min="3377" max="3377" customWidth="1" width="8"/>
    <col min="3378" max="3378" customWidth="1" width="8"/>
    <col min="3379" max="3379" customWidth="1" width="8"/>
    <col min="3380" max="3380" customWidth="1" width="8"/>
    <col min="3381" max="3381" customWidth="1" width="8"/>
    <col min="3382" max="3382" customWidth="1" width="8"/>
    <col min="3383" max="3383" customWidth="1" width="8"/>
    <col min="3384" max="3384" customWidth="1" width="8"/>
    <col min="3385" max="3385" customWidth="1" width="8"/>
    <col min="3386" max="3386" customWidth="1" width="8"/>
    <col min="3387" max="3387" customWidth="1" width="8"/>
    <col min="3388" max="3388" customWidth="1" width="8"/>
    <col min="3389" max="3389" customWidth="1" width="8"/>
    <col min="3390" max="3390" customWidth="1" width="8"/>
    <col min="3391" max="3391" customWidth="1" width="8"/>
    <col min="3392" max="3392" customWidth="1" width="8"/>
    <col min="3393" max="3393" customWidth="1" width="8"/>
    <col min="3394" max="3394" customWidth="1" width="8"/>
    <col min="3395" max="3395" customWidth="1" width="8"/>
    <col min="3396" max="3396" customWidth="1" width="8"/>
    <col min="3397" max="3397" customWidth="1" width="8"/>
    <col min="3398" max="3398" customWidth="1" width="8"/>
    <col min="3399" max="3399" customWidth="1" width="8"/>
    <col min="3400" max="3400" customWidth="1" width="8"/>
    <col min="3401" max="3401" customWidth="1" width="8"/>
    <col min="3402" max="3402" customWidth="1" width="8"/>
    <col min="3403" max="3403" customWidth="1" width="8"/>
    <col min="3404" max="3404" customWidth="1" width="8"/>
    <col min="3405" max="3405" customWidth="1" width="8"/>
    <col min="3406" max="3406" customWidth="1" width="8"/>
    <col min="3407" max="3407" customWidth="1" width="8"/>
    <col min="3408" max="3408" customWidth="1" width="8"/>
    <col min="3409" max="3409" customWidth="1" width="8"/>
    <col min="3410" max="3410" customWidth="1" width="8"/>
    <col min="3411" max="3411" customWidth="1" width="8"/>
    <col min="3412" max="3412" customWidth="1" width="8"/>
    <col min="3413" max="3413" customWidth="1" width="8"/>
    <col min="3414" max="3414" customWidth="1" width="8"/>
    <col min="3415" max="3415" customWidth="1" width="8"/>
    <col min="3416" max="3416" customWidth="1" width="8"/>
    <col min="3417" max="3417" customWidth="1" width="8"/>
    <col min="3418" max="3418" customWidth="1" width="8"/>
    <col min="3419" max="3419" customWidth="1" width="8"/>
    <col min="3420" max="3420" customWidth="1" width="8"/>
    <col min="3421" max="3421" customWidth="1" width="8"/>
    <col min="3422" max="3422" customWidth="1" width="8"/>
    <col min="3423" max="3423" customWidth="1" width="8"/>
    <col min="3424" max="3424" customWidth="1" width="8"/>
    <col min="3425" max="3425" customWidth="1" width="8"/>
    <col min="3426" max="3426" customWidth="1" width="8"/>
    <col min="3427" max="3427" customWidth="1" width="8"/>
    <col min="3428" max="3428" customWidth="1" width="8"/>
    <col min="3429" max="3429" customWidth="1" width="8"/>
    <col min="3430" max="3430" customWidth="1" width="8"/>
    <col min="3431" max="3431" customWidth="1" width="8"/>
    <col min="3432" max="3432" customWidth="1" width="8"/>
    <col min="3433" max="3433" customWidth="1" width="8"/>
    <col min="3434" max="3434" customWidth="1" width="8"/>
    <col min="3435" max="3435" customWidth="1" width="8"/>
    <col min="3436" max="3436" customWidth="1" width="8"/>
    <col min="3437" max="3437" customWidth="1" width="8"/>
    <col min="3438" max="3438" customWidth="1" width="8"/>
    <col min="3439" max="3439" customWidth="1" width="8"/>
    <col min="3440" max="3440" customWidth="1" width="8"/>
    <col min="3441" max="3441" customWidth="1" width="8"/>
    <col min="3442" max="3442" customWidth="1" width="8"/>
    <col min="3443" max="3443" customWidth="1" width="8"/>
    <col min="3444" max="3444" customWidth="1" width="8"/>
    <col min="3445" max="3445" customWidth="1" width="8"/>
    <col min="3446" max="3446" customWidth="1" width="8"/>
    <col min="3447" max="3447" customWidth="1" width="8"/>
    <col min="3448" max="3448" customWidth="1" width="8"/>
    <col min="3449" max="3449" customWidth="1" width="8"/>
    <col min="3450" max="3450" customWidth="1" width="8"/>
    <col min="3451" max="3451" customWidth="1" width="8"/>
    <col min="3452" max="3452" customWidth="1" width="8"/>
    <col min="3453" max="3453" customWidth="1" width="8"/>
    <col min="3454" max="3454" customWidth="1" width="8"/>
    <col min="3455" max="3455" customWidth="1" width="8"/>
    <col min="3456" max="3456" customWidth="1" width="8"/>
    <col min="3457" max="3457" customWidth="1" width="8"/>
    <col min="3458" max="3458" customWidth="1" width="8"/>
    <col min="3459" max="3459" customWidth="1" width="8"/>
    <col min="3460" max="3460" customWidth="1" width="8"/>
    <col min="3461" max="3461" customWidth="1" width="8"/>
    <col min="3462" max="3462" customWidth="1" width="8"/>
    <col min="3463" max="3463" customWidth="1" width="8"/>
    <col min="3464" max="3464" customWidth="1" width="8"/>
    <col min="3465" max="3465" customWidth="1" width="8"/>
    <col min="3466" max="3466" customWidth="1" width="8"/>
    <col min="3467" max="3467" customWidth="1" width="8"/>
    <col min="3468" max="3468" customWidth="1" width="8"/>
    <col min="3469" max="3469" customWidth="1" width="8"/>
    <col min="3470" max="3470" customWidth="1" width="8"/>
    <col min="3471" max="3471" customWidth="1" width="8"/>
    <col min="3472" max="3472" customWidth="1" width="8"/>
    <col min="3473" max="3473" customWidth="1" width="8"/>
    <col min="3474" max="3474" customWidth="1" width="8"/>
    <col min="3475" max="3475" customWidth="1" width="8"/>
    <col min="3476" max="3476" customWidth="1" width="8"/>
    <col min="3477" max="3477" customWidth="1" width="8"/>
    <col min="3478" max="3478" customWidth="1" width="8"/>
    <col min="3479" max="3479" customWidth="1" width="8"/>
    <col min="3480" max="3480" customWidth="1" width="8"/>
    <col min="3481" max="3481" customWidth="1" width="8"/>
    <col min="3482" max="3482" customWidth="1" width="8"/>
    <col min="3483" max="3483" customWidth="1" width="8"/>
    <col min="3484" max="3484" customWidth="1" width="8"/>
    <col min="3485" max="3485" customWidth="1" width="8"/>
    <col min="3486" max="3486" customWidth="1" width="8"/>
    <col min="3487" max="3487" customWidth="1" width="8"/>
    <col min="3488" max="3488" customWidth="1" width="8"/>
    <col min="3489" max="3489" customWidth="1" width="8"/>
    <col min="3490" max="3490" customWidth="1" width="8"/>
    <col min="3491" max="3491" customWidth="1" width="8"/>
    <col min="3492" max="3492" customWidth="1" width="8"/>
    <col min="3493" max="3493" customWidth="1" width="8"/>
    <col min="3494" max="3494" customWidth="1" width="8"/>
    <col min="3495" max="3495" customWidth="1" width="8"/>
    <col min="3496" max="3496" customWidth="1" width="8"/>
    <col min="3497" max="3497" customWidth="1" width="8"/>
    <col min="3498" max="3498" customWidth="1" width="8"/>
    <col min="3499" max="3499" customWidth="1" width="8"/>
    <col min="3500" max="3500" customWidth="1" width="8"/>
    <col min="3501" max="3501" customWidth="1" width="8"/>
    <col min="3502" max="3502" customWidth="1" width="8"/>
    <col min="3503" max="3503" customWidth="1" width="8"/>
    <col min="3504" max="3504" customWidth="1" width="8"/>
    <col min="3505" max="3505" customWidth="1" width="8"/>
    <col min="3506" max="3506" customWidth="1" width="8"/>
    <col min="3507" max="3507" customWidth="1" width="8"/>
    <col min="3508" max="3508" customWidth="1" width="8"/>
    <col min="3509" max="3509" customWidth="1" width="8"/>
    <col min="3510" max="3510" customWidth="1" width="8"/>
    <col min="3511" max="3511" customWidth="1" width="8"/>
    <col min="3512" max="3512" customWidth="1" width="8"/>
    <col min="3513" max="3513" customWidth="1" width="8"/>
    <col min="3514" max="3514" customWidth="1" width="8"/>
    <col min="3515" max="3515" customWidth="1" width="8"/>
    <col min="3516" max="3516" customWidth="1" width="8"/>
    <col min="3517" max="3517" customWidth="1" width="8"/>
    <col min="3518" max="3518" customWidth="1" width="8"/>
    <col min="3519" max="3519" customWidth="1" width="8"/>
    <col min="3520" max="3520" customWidth="1" width="8"/>
    <col min="3521" max="3521" customWidth="1" width="8"/>
    <col min="3522" max="3522" customWidth="1" width="8"/>
    <col min="3523" max="3523" customWidth="1" width="8"/>
    <col min="3524" max="3524" customWidth="1" width="8"/>
    <col min="3525" max="3525" customWidth="1" width="8"/>
    <col min="3526" max="3526" customWidth="1" width="8"/>
    <col min="3527" max="3527" customWidth="1" width="8"/>
    <col min="3528" max="3528" customWidth="1" width="8"/>
    <col min="3529" max="3529" customWidth="1" width="8"/>
    <col min="3530" max="3530" customWidth="1" width="8"/>
    <col min="3531" max="3531" customWidth="1" width="8"/>
    <col min="3532" max="3532" customWidth="1" width="8"/>
    <col min="3533" max="3533" customWidth="1" width="8"/>
    <col min="3534" max="3534" customWidth="1" width="8"/>
    <col min="3535" max="3535" customWidth="1" width="8"/>
    <col min="3536" max="3536" customWidth="1" width="8"/>
    <col min="3537" max="3537" customWidth="1" width="8"/>
    <col min="3538" max="3538" customWidth="1" width="8"/>
    <col min="3539" max="3539" customWidth="1" width="8"/>
    <col min="3540" max="3540" customWidth="1" width="8"/>
    <col min="3541" max="3541" customWidth="1" width="8"/>
    <col min="3542" max="3542" customWidth="1" width="8"/>
    <col min="3543" max="3543" customWidth="1" width="8"/>
    <col min="3544" max="3544" customWidth="1" width="8"/>
    <col min="3545" max="3545" customWidth="1" width="8"/>
    <col min="3546" max="3546" customWidth="1" width="8"/>
    <col min="3547" max="3547" customWidth="1" width="8"/>
    <col min="3548" max="3548" customWidth="1" width="8"/>
    <col min="3549" max="3549" customWidth="1" width="8"/>
    <col min="3550" max="3550" customWidth="1" width="8"/>
    <col min="3551" max="3551" customWidth="1" width="8"/>
    <col min="3552" max="3552" customWidth="1" width="8"/>
    <col min="3553" max="3553" customWidth="1" width="8"/>
    <col min="3554" max="3554" customWidth="1" width="8"/>
    <col min="3555" max="3555" customWidth="1" width="8"/>
    <col min="3556" max="3556" customWidth="1" width="8"/>
    <col min="3557" max="3557" customWidth="1" width="8"/>
    <col min="3558" max="3558" customWidth="1" width="8"/>
    <col min="3559" max="3559" customWidth="1" width="8"/>
    <col min="3560" max="3560" customWidth="1" width="8"/>
    <col min="3561" max="3561" customWidth="1" width="8"/>
    <col min="3562" max="3562" customWidth="1" width="8"/>
    <col min="3563" max="3563" customWidth="1" width="8"/>
    <col min="3564" max="3564" customWidth="1" width="8"/>
    <col min="3565" max="3565" customWidth="1" width="8"/>
    <col min="3566" max="3566" customWidth="1" width="8"/>
    <col min="3567" max="3567" customWidth="1" width="8"/>
    <col min="3568" max="3568" customWidth="1" width="8"/>
    <col min="3569" max="3569" customWidth="1" width="8"/>
    <col min="3570" max="3570" customWidth="1" width="8"/>
    <col min="3571" max="3571" customWidth="1" width="8"/>
    <col min="3572" max="3572" customWidth="1" width="8"/>
    <col min="3573" max="3573" customWidth="1" width="8"/>
    <col min="3574" max="3574" customWidth="1" width="8"/>
    <col min="3575" max="3575" customWidth="1" width="8"/>
    <col min="3576" max="3576" customWidth="1" width="8"/>
    <col min="3577" max="3577" customWidth="1" width="8"/>
    <col min="3578" max="3578" customWidth="1" width="8"/>
    <col min="3579" max="3579" customWidth="1" width="8"/>
    <col min="3580" max="3580" customWidth="1" width="8"/>
    <col min="3581" max="3581" customWidth="1" width="8"/>
    <col min="3582" max="3582" customWidth="1" width="8"/>
    <col min="3583" max="3583" customWidth="1" width="8"/>
    <col min="3584" max="3584" customWidth="1" width="8"/>
    <col min="3585" max="3585" customWidth="1" width="8"/>
    <col min="3586" max="3586" customWidth="1" width="8"/>
    <col min="3587" max="3587" customWidth="1" width="8"/>
    <col min="3588" max="3588" customWidth="1" width="8"/>
    <col min="3589" max="3589" customWidth="1" width="8"/>
    <col min="3590" max="3590" customWidth="1" width="8"/>
    <col min="3591" max="3591" customWidth="1" width="8"/>
    <col min="3592" max="3592" customWidth="1" width="8"/>
    <col min="3593" max="3593" customWidth="1" width="8"/>
    <col min="3594" max="3594" customWidth="1" width="8"/>
    <col min="3595" max="3595" customWidth="1" width="8"/>
    <col min="3596" max="3596" customWidth="1" width="8"/>
    <col min="3597" max="3597" customWidth="1" width="8"/>
    <col min="3598" max="3598" customWidth="1" width="8"/>
    <col min="3599" max="3599" customWidth="1" width="8"/>
    <col min="3600" max="3600" customWidth="1" width="8"/>
    <col min="3601" max="3601" customWidth="1" width="8"/>
    <col min="3602" max="3602" customWidth="1" width="8"/>
    <col min="3603" max="3603" customWidth="1" width="8"/>
    <col min="3604" max="3604" customWidth="1" width="8"/>
    <col min="3605" max="3605" customWidth="1" width="8"/>
    <col min="3606" max="3606" customWidth="1" width="8"/>
    <col min="3607" max="3607" customWidth="1" width="8"/>
    <col min="3608" max="3608" customWidth="1" width="8"/>
    <col min="3609" max="3609" customWidth="1" width="8"/>
    <col min="3610" max="3610" customWidth="1" width="8"/>
    <col min="3611" max="3611" customWidth="1" width="8"/>
    <col min="3612" max="3612" customWidth="1" width="8"/>
    <col min="3613" max="3613" customWidth="1" width="8"/>
    <col min="3614" max="3614" customWidth="1" width="8"/>
    <col min="3615" max="3615" customWidth="1" width="8"/>
    <col min="3616" max="3616" customWidth="1" width="8"/>
    <col min="3617" max="3617" customWidth="1" width="8"/>
    <col min="3618" max="3618" customWidth="1" width="8"/>
    <col min="3619" max="3619" customWidth="1" width="8"/>
    <col min="3620" max="3620" customWidth="1" width="8"/>
    <col min="3621" max="3621" customWidth="1" width="8"/>
    <col min="3622" max="3622" customWidth="1" width="8"/>
    <col min="3623" max="3623" customWidth="1" width="8"/>
    <col min="3624" max="3624" customWidth="1" width="8"/>
    <col min="3625" max="3625" customWidth="1" width="8"/>
    <col min="3626" max="3626" customWidth="1" width="8"/>
    <col min="3627" max="3627" customWidth="1" width="8"/>
    <col min="3628" max="3628" customWidth="1" width="8"/>
    <col min="3629" max="3629" customWidth="1" width="8"/>
    <col min="3630" max="3630" customWidth="1" width="8"/>
    <col min="3631" max="3631" customWidth="1" width="8"/>
    <col min="3632" max="3632" customWidth="1" width="8"/>
    <col min="3633" max="3633" customWidth="1" width="8"/>
    <col min="3634" max="3634" customWidth="1" width="8"/>
    <col min="3635" max="3635" customWidth="1" width="8"/>
    <col min="3636" max="3636" customWidth="1" width="8"/>
    <col min="3637" max="3637" customWidth="1" width="8"/>
    <col min="3638" max="3638" customWidth="1" width="8"/>
    <col min="3639" max="3639" customWidth="1" width="8"/>
    <col min="3640" max="3640" customWidth="1" width="8"/>
    <col min="3641" max="3641" customWidth="1" width="8"/>
    <col min="3642" max="3642" customWidth="1" width="8"/>
    <col min="3643" max="3643" customWidth="1" width="8"/>
    <col min="3644" max="3644" customWidth="1" width="8"/>
    <col min="3645" max="3645" customWidth="1" width="8"/>
    <col min="3646" max="3646" customWidth="1" width="8"/>
    <col min="3647" max="3647" customWidth="1" width="8"/>
    <col min="3648" max="3648" customWidth="1" width="8"/>
    <col min="3649" max="3649" customWidth="1" width="8"/>
    <col min="3650" max="3650" customWidth="1" width="8"/>
    <col min="3651" max="3651" customWidth="1" width="8"/>
    <col min="3652" max="3652" customWidth="1" width="8"/>
    <col min="3653" max="3653" customWidth="1" width="8"/>
    <col min="3654" max="3654" customWidth="1" width="8"/>
    <col min="3655" max="3655" customWidth="1" width="8"/>
    <col min="3656" max="3656" customWidth="1" width="8"/>
    <col min="3657" max="3657" customWidth="1" width="8"/>
    <col min="3658" max="3658" customWidth="1" width="8"/>
    <col min="3659" max="3659" customWidth="1" width="8"/>
    <col min="3660" max="3660" customWidth="1" width="8"/>
    <col min="3661" max="3661" customWidth="1" width="8"/>
    <col min="3662" max="3662" customWidth="1" width="8"/>
    <col min="3663" max="3663" customWidth="1" width="8"/>
    <col min="3664" max="3664" customWidth="1" width="8"/>
    <col min="3665" max="3665" customWidth="1" width="8"/>
    <col min="3666" max="3666" customWidth="1" width="8"/>
    <col min="3667" max="3667" customWidth="1" width="8"/>
    <col min="3668" max="3668" customWidth="1" width="8"/>
    <col min="3669" max="3669" customWidth="1" width="8"/>
    <col min="3670" max="3670" customWidth="1" width="8"/>
    <col min="3671" max="3671" customWidth="1" width="8"/>
    <col min="3672" max="3672" customWidth="1" width="8"/>
    <col min="3673" max="3673" customWidth="1" width="8"/>
    <col min="3674" max="3674" customWidth="1" width="8"/>
    <col min="3675" max="3675" customWidth="1" width="8"/>
    <col min="3676" max="3676" customWidth="1" width="8"/>
    <col min="3677" max="3677" customWidth="1" width="8"/>
    <col min="3678" max="3678" customWidth="1" width="8"/>
    <col min="3679" max="3679" customWidth="1" width="8"/>
    <col min="3680" max="3680" customWidth="1" width="8"/>
    <col min="3681" max="3681" customWidth="1" width="8"/>
    <col min="3682" max="3682" customWidth="1" width="8"/>
    <col min="3683" max="3683" customWidth="1" width="8"/>
    <col min="3684" max="3684" customWidth="1" width="8"/>
    <col min="3685" max="3685" customWidth="1" width="8"/>
    <col min="3686" max="3686" customWidth="1" width="8"/>
    <col min="3687" max="3687" customWidth="1" width="8"/>
    <col min="3688" max="3688" customWidth="1" width="8"/>
    <col min="3689" max="3689" customWidth="1" width="8"/>
    <col min="3690" max="3690" customWidth="1" width="8"/>
    <col min="3691" max="3691" customWidth="1" width="8"/>
    <col min="3692" max="3692" customWidth="1" width="8"/>
    <col min="3693" max="3693" customWidth="1" width="8"/>
    <col min="3694" max="3694" customWidth="1" width="8"/>
    <col min="3695" max="3695" customWidth="1" width="8"/>
    <col min="3696" max="3696" customWidth="1" width="8"/>
    <col min="3697" max="3697" customWidth="1" width="8"/>
    <col min="3698" max="3698" customWidth="1" width="8"/>
    <col min="3699" max="3699" customWidth="1" width="8"/>
    <col min="3700" max="3700" customWidth="1" width="8"/>
    <col min="3701" max="3701" customWidth="1" width="8"/>
    <col min="3702" max="3702" customWidth="1" width="8"/>
    <col min="3703" max="3703" customWidth="1" width="8"/>
    <col min="3704" max="3704" customWidth="1" width="8"/>
    <col min="3705" max="3705" customWidth="1" width="8"/>
    <col min="3706" max="3706" customWidth="1" width="8"/>
    <col min="3707" max="3707" customWidth="1" width="8"/>
    <col min="3708" max="3708" customWidth="1" width="8"/>
    <col min="3709" max="3709" customWidth="1" width="8"/>
    <col min="3710" max="3710" customWidth="1" width="8"/>
    <col min="3711" max="3711" customWidth="1" width="8"/>
    <col min="3712" max="3712" customWidth="1" width="8"/>
    <col min="3713" max="3713" customWidth="1" width="8"/>
    <col min="3714" max="3714" customWidth="1" width="8"/>
    <col min="3715" max="3715" customWidth="1" width="8"/>
    <col min="3716" max="3716" customWidth="1" width="8"/>
    <col min="3717" max="3717" customWidth="1" width="8"/>
    <col min="3718" max="3718" customWidth="1" width="8"/>
    <col min="3719" max="3719" customWidth="1" width="8"/>
    <col min="3720" max="3720" customWidth="1" width="8"/>
    <col min="3721" max="3721" customWidth="1" width="8"/>
    <col min="3722" max="3722" customWidth="1" width="8"/>
    <col min="3723" max="3723" customWidth="1" width="8"/>
    <col min="3724" max="3724" customWidth="1" width="8"/>
    <col min="3725" max="3725" customWidth="1" width="8"/>
    <col min="3726" max="3726" customWidth="1" width="8"/>
    <col min="3727" max="3727" customWidth="1" width="8"/>
    <col min="3728" max="3728" customWidth="1" width="8"/>
    <col min="3729" max="3729" customWidth="1" width="8"/>
    <col min="3730" max="3730" customWidth="1" width="8"/>
    <col min="3731" max="3731" customWidth="1" width="8"/>
    <col min="3732" max="3732" customWidth="1" width="8"/>
    <col min="3733" max="3733" customWidth="1" width="8"/>
    <col min="3734" max="3734" customWidth="1" width="8"/>
    <col min="3735" max="3735" customWidth="1" width="8"/>
    <col min="3736" max="3736" customWidth="1" width="8"/>
    <col min="3737" max="3737" customWidth="1" width="8"/>
    <col min="3738" max="3738" customWidth="1" width="8"/>
    <col min="3739" max="3739" customWidth="1" width="8"/>
    <col min="3740" max="3740" customWidth="1" width="8"/>
    <col min="3741" max="3741" customWidth="1" width="8"/>
    <col min="3742" max="3742" customWidth="1" width="8"/>
    <col min="3743" max="3743" customWidth="1" width="8"/>
    <col min="3744" max="3744" customWidth="1" width="8"/>
    <col min="3745" max="3745" customWidth="1" width="8"/>
    <col min="3746" max="3746" customWidth="1" width="8"/>
    <col min="3747" max="3747" customWidth="1" width="8"/>
    <col min="3748" max="3748" customWidth="1" width="8"/>
    <col min="3749" max="3749" customWidth="1" width="8"/>
    <col min="3750" max="3750" customWidth="1" width="8"/>
    <col min="3751" max="3751" customWidth="1" width="8"/>
    <col min="3752" max="3752" customWidth="1" width="8"/>
    <col min="3753" max="3753" customWidth="1" width="8"/>
    <col min="3754" max="3754" customWidth="1" width="8"/>
    <col min="3755" max="3755" customWidth="1" width="8"/>
    <col min="3756" max="3756" customWidth="1" width="8"/>
    <col min="3757" max="3757" customWidth="1" width="8"/>
    <col min="3758" max="3758" customWidth="1" width="8"/>
    <col min="3759" max="3759" customWidth="1" width="8"/>
    <col min="3760" max="3760" customWidth="1" width="8"/>
    <col min="3761" max="3761" customWidth="1" width="8"/>
    <col min="3762" max="3762" customWidth="1" width="8"/>
    <col min="3763" max="3763" customWidth="1" width="8"/>
    <col min="3764" max="3764" customWidth="1" width="8"/>
    <col min="3765" max="3765" customWidth="1" width="8"/>
    <col min="3766" max="3766" customWidth="1" width="8"/>
    <col min="3767" max="3767" customWidth="1" width="8"/>
    <col min="3768" max="3768" customWidth="1" width="8"/>
    <col min="3769" max="3769" customWidth="1" width="8"/>
    <col min="3770" max="3770" customWidth="1" width="8"/>
    <col min="3771" max="3771" customWidth="1" width="8"/>
    <col min="3772" max="3772" customWidth="1" width="8"/>
    <col min="3773" max="3773" customWidth="1" width="8"/>
    <col min="3774" max="3774" customWidth="1" width="8"/>
    <col min="3775" max="3775" customWidth="1" width="8"/>
    <col min="3776" max="3776" customWidth="1" width="8"/>
    <col min="3777" max="3777" customWidth="1" width="8"/>
    <col min="3778" max="3778" customWidth="1" width="8"/>
    <col min="3779" max="3779" customWidth="1" width="8"/>
    <col min="3780" max="3780" customWidth="1" width="8"/>
    <col min="3781" max="3781" customWidth="1" width="8"/>
    <col min="3782" max="3782" customWidth="1" width="8"/>
    <col min="3783" max="3783" customWidth="1" width="8"/>
    <col min="3784" max="3784" customWidth="1" width="8"/>
    <col min="3785" max="3785" customWidth="1" width="8"/>
    <col min="3786" max="3786" customWidth="1" width="8"/>
    <col min="3787" max="3787" customWidth="1" width="8"/>
    <col min="3788" max="3788" customWidth="1" width="8"/>
    <col min="3789" max="3789" customWidth="1" width="8"/>
    <col min="3790" max="3790" customWidth="1" width="8"/>
    <col min="3791" max="3791" customWidth="1" width="8"/>
    <col min="3792" max="3792" customWidth="1" width="8"/>
    <col min="3793" max="3793" customWidth="1" width="8"/>
    <col min="3794" max="3794" customWidth="1" width="8"/>
    <col min="3795" max="3795" customWidth="1" width="8"/>
    <col min="3796" max="3796" customWidth="1" width="8"/>
    <col min="3797" max="3797" customWidth="1" width="8"/>
    <col min="3798" max="3798" customWidth="1" width="8"/>
    <col min="3799" max="3799" customWidth="1" width="8"/>
    <col min="3800" max="3800" customWidth="1" width="8"/>
    <col min="3801" max="3801" customWidth="1" width="8"/>
    <col min="3802" max="3802" customWidth="1" width="8"/>
    <col min="3803" max="3803" customWidth="1" width="8"/>
    <col min="3804" max="3804" customWidth="1" width="8"/>
    <col min="3805" max="3805" customWidth="1" width="8"/>
    <col min="3806" max="3806" customWidth="1" width="8"/>
    <col min="3807" max="3807" customWidth="1" width="8"/>
    <col min="3808" max="3808" customWidth="1" width="8"/>
    <col min="3809" max="3809" customWidth="1" width="8"/>
    <col min="3810" max="3810" customWidth="1" width="8"/>
    <col min="3811" max="3811" customWidth="1" width="8"/>
    <col min="3812" max="3812" customWidth="1" width="8"/>
    <col min="3813" max="3813" customWidth="1" width="8"/>
    <col min="3814" max="3814" customWidth="1" width="8"/>
    <col min="3815" max="3815" customWidth="1" width="8"/>
    <col min="3816" max="3816" customWidth="1" width="8"/>
    <col min="3817" max="3817" customWidth="1" width="8"/>
    <col min="3818" max="3818" customWidth="1" width="8"/>
    <col min="3819" max="3819" customWidth="1" width="8"/>
    <col min="3820" max="3820" customWidth="1" width="8"/>
    <col min="3821" max="3821" customWidth="1" width="8"/>
    <col min="3822" max="3822" customWidth="1" width="8"/>
    <col min="3823" max="3823" customWidth="1" width="8"/>
    <col min="3824" max="3824" customWidth="1" width="8"/>
    <col min="3825" max="3825" customWidth="1" width="8"/>
    <col min="3826" max="3826" customWidth="1" width="8"/>
    <col min="3827" max="3827" customWidth="1" width="8"/>
    <col min="3828" max="3828" customWidth="1" width="8"/>
    <col min="3829" max="3829" customWidth="1" width="8"/>
    <col min="3830" max="3830" customWidth="1" width="8"/>
    <col min="3831" max="3831" customWidth="1" width="8"/>
    <col min="3832" max="3832" customWidth="1" width="8"/>
    <col min="3833" max="3833" customWidth="1" width="8"/>
    <col min="3834" max="3834" customWidth="1" width="8"/>
    <col min="3835" max="3835" customWidth="1" width="8"/>
    <col min="3836" max="3836" customWidth="1" width="8"/>
    <col min="3837" max="3837" customWidth="1" width="8"/>
    <col min="3838" max="3838" customWidth="1" width="8"/>
    <col min="3839" max="3839" customWidth="1" width="8"/>
    <col min="3840" max="3840" customWidth="1" width="8"/>
    <col min="3841" max="3841" customWidth="1" width="8"/>
    <col min="3842" max="3842" customWidth="1" width="8"/>
    <col min="3843" max="3843" customWidth="1" width="8"/>
    <col min="3844" max="3844" customWidth="1" width="8"/>
    <col min="3845" max="3845" customWidth="1" width="8"/>
    <col min="3846" max="3846" customWidth="1" width="8"/>
    <col min="3847" max="3847" customWidth="1" width="8"/>
    <col min="3848" max="3848" customWidth="1" width="8"/>
    <col min="3849" max="3849" customWidth="1" width="8"/>
    <col min="3850" max="3850" customWidth="1" width="8"/>
    <col min="3851" max="3851" customWidth="1" width="8"/>
    <col min="3852" max="3852" customWidth="1" width="8"/>
    <col min="3853" max="3853" customWidth="1" width="8"/>
    <col min="3854" max="3854" customWidth="1" width="8"/>
    <col min="3855" max="3855" customWidth="1" width="8"/>
    <col min="3856" max="3856" customWidth="1" width="8"/>
    <col min="3857" max="3857" customWidth="1" width="8"/>
    <col min="3858" max="3858" customWidth="1" width="8"/>
    <col min="3859" max="3859" customWidth="1" width="8"/>
    <col min="3860" max="3860" customWidth="1" width="8"/>
    <col min="3861" max="3861" customWidth="1" width="8"/>
    <col min="3862" max="3862" customWidth="1" width="8"/>
    <col min="3863" max="3863" customWidth="1" width="8"/>
    <col min="3864" max="3864" customWidth="1" width="8"/>
    <col min="3865" max="3865" customWidth="1" width="8"/>
    <col min="3866" max="3866" customWidth="1" width="8"/>
    <col min="3867" max="3867" customWidth="1" width="8"/>
    <col min="3868" max="3868" customWidth="1" width="8"/>
    <col min="3869" max="3869" customWidth="1" width="8"/>
    <col min="3870" max="3870" customWidth="1" width="8"/>
    <col min="3871" max="3871" customWidth="1" width="8"/>
    <col min="3872" max="3872" customWidth="1" width="8"/>
    <col min="3873" max="3873" customWidth="1" width="8"/>
    <col min="3874" max="3874" customWidth="1" width="8"/>
    <col min="3875" max="3875" customWidth="1" width="8"/>
    <col min="3876" max="3876" customWidth="1" width="8"/>
    <col min="3877" max="3877" customWidth="1" width="8"/>
    <col min="3878" max="3878" customWidth="1" width="8"/>
    <col min="3879" max="3879" customWidth="1" width="8"/>
    <col min="3880" max="3880" customWidth="1" width="8"/>
    <col min="3881" max="3881" customWidth="1" width="8"/>
    <col min="3882" max="3882" customWidth="1" width="8"/>
    <col min="3883" max="3883" customWidth="1" width="8"/>
    <col min="3884" max="3884" customWidth="1" width="8"/>
    <col min="3885" max="3885" customWidth="1" width="8"/>
    <col min="3886" max="3886" customWidth="1" width="8"/>
    <col min="3887" max="3887" customWidth="1" width="8"/>
    <col min="3888" max="3888" customWidth="1" width="8"/>
    <col min="3889" max="3889" customWidth="1" width="8"/>
    <col min="3890" max="3890" customWidth="1" width="8"/>
    <col min="3891" max="3891" customWidth="1" width="8"/>
    <col min="3892" max="3892" customWidth="1" width="8"/>
    <col min="3893" max="3893" customWidth="1" width="8"/>
    <col min="3894" max="3894" customWidth="1" width="8"/>
    <col min="3895" max="3895" customWidth="1" width="8"/>
    <col min="3896" max="3896" customWidth="1" width="8"/>
    <col min="3897" max="3897" customWidth="1" width="8"/>
    <col min="3898" max="3898" customWidth="1" width="8"/>
    <col min="3899" max="3899" customWidth="1" width="8"/>
    <col min="3900" max="3900" customWidth="1" width="8"/>
    <col min="3901" max="3901" customWidth="1" width="8"/>
    <col min="3902" max="3902" customWidth="1" width="8"/>
    <col min="3903" max="3903" customWidth="1" width="8"/>
    <col min="3904" max="3904" customWidth="1" width="8"/>
    <col min="3905" max="3905" customWidth="1" width="8"/>
    <col min="3906" max="3906" customWidth="1" width="8"/>
    <col min="3907" max="3907" customWidth="1" width="8"/>
    <col min="3908" max="3908" customWidth="1" width="8"/>
    <col min="3909" max="3909" customWidth="1" width="8"/>
    <col min="3910" max="3910" customWidth="1" width="8"/>
    <col min="3911" max="3911" customWidth="1" width="8"/>
    <col min="3912" max="3912" customWidth="1" width="8"/>
    <col min="3913" max="3913" customWidth="1" width="8"/>
    <col min="3914" max="3914" customWidth="1" width="8"/>
    <col min="3915" max="3915" customWidth="1" width="8"/>
    <col min="3916" max="3916" customWidth="1" width="8"/>
    <col min="3917" max="3917" customWidth="1" width="8"/>
    <col min="3918" max="3918" customWidth="1" width="8"/>
    <col min="3919" max="3919" customWidth="1" width="8"/>
    <col min="3920" max="3920" customWidth="1" width="8"/>
    <col min="3921" max="3921" customWidth="1" width="8"/>
    <col min="3922" max="3922" customWidth="1" width="8"/>
    <col min="3923" max="3923" customWidth="1" width="8"/>
    <col min="3924" max="3924" customWidth="1" width="8"/>
    <col min="3925" max="3925" customWidth="1" width="8"/>
    <col min="3926" max="3926" customWidth="1" width="8"/>
    <col min="3927" max="3927" customWidth="1" width="8"/>
    <col min="3928" max="3928" customWidth="1" width="8"/>
    <col min="3929" max="3929" customWidth="1" width="8"/>
    <col min="3930" max="3930" customWidth="1" width="8"/>
    <col min="3931" max="3931" customWidth="1" width="8"/>
    <col min="3932" max="3932" customWidth="1" width="8"/>
    <col min="3933" max="3933" customWidth="1" width="8"/>
    <col min="3934" max="3934" customWidth="1" width="8"/>
    <col min="3935" max="3935" customWidth="1" width="8"/>
    <col min="3936" max="3936" customWidth="1" width="8"/>
    <col min="3937" max="3937" customWidth="1" width="8"/>
    <col min="3938" max="3938" customWidth="1" width="8"/>
    <col min="3939" max="3939" customWidth="1" width="8"/>
    <col min="3940" max="3940" customWidth="1" width="8"/>
    <col min="3941" max="3941" customWidth="1" width="8"/>
    <col min="3942" max="3942" customWidth="1" width="8"/>
    <col min="3943" max="3943" customWidth="1" width="8"/>
    <col min="3944" max="3944" customWidth="1" width="8"/>
    <col min="3945" max="3945" customWidth="1" width="8"/>
    <col min="3946" max="3946" customWidth="1" width="8"/>
    <col min="3947" max="3947" customWidth="1" width="8"/>
    <col min="3948" max="3948" customWidth="1" width="8"/>
    <col min="3949" max="3949" customWidth="1" width="8"/>
    <col min="3950" max="3950" customWidth="1" width="8"/>
    <col min="3951" max="3951" customWidth="1" width="8"/>
    <col min="3952" max="3952" customWidth="1" width="8"/>
    <col min="3953" max="3953" customWidth="1" width="8"/>
    <col min="3954" max="3954" customWidth="1" width="8"/>
    <col min="3955" max="3955" customWidth="1" width="8"/>
    <col min="3956" max="3956" customWidth="1" width="8"/>
    <col min="3957" max="3957" customWidth="1" width="8"/>
    <col min="3958" max="3958" customWidth="1" width="8"/>
    <col min="3959" max="3959" customWidth="1" width="8"/>
    <col min="3960" max="3960" customWidth="1" width="8"/>
    <col min="3961" max="3961" customWidth="1" width="8"/>
    <col min="3962" max="3962" customWidth="1" width="8"/>
    <col min="3963" max="3963" customWidth="1" width="8"/>
    <col min="3964" max="3964" customWidth="1" width="8"/>
    <col min="3965" max="3965" customWidth="1" width="8"/>
    <col min="3966" max="3966" customWidth="1" width="8"/>
    <col min="3967" max="3967" customWidth="1" width="8"/>
    <col min="3968" max="3968" customWidth="1" width="8"/>
    <col min="3969" max="3969" customWidth="1" width="8"/>
    <col min="3970" max="3970" customWidth="1" width="8"/>
    <col min="3971" max="3971" customWidth="1" width="8"/>
    <col min="3972" max="3972" customWidth="1" width="8"/>
    <col min="3973" max="3973" customWidth="1" width="8"/>
    <col min="3974" max="3974" customWidth="1" width="8"/>
    <col min="3975" max="3975" customWidth="1" width="8"/>
    <col min="3976" max="3976" customWidth="1" width="8"/>
    <col min="3977" max="3977" customWidth="1" width="8"/>
    <col min="3978" max="3978" customWidth="1" width="8"/>
    <col min="3979" max="3979" customWidth="1" width="8"/>
    <col min="3980" max="3980" customWidth="1" width="8"/>
    <col min="3981" max="3981" customWidth="1" width="8"/>
    <col min="3982" max="3982" customWidth="1" width="8"/>
    <col min="3983" max="3983" customWidth="1" width="8"/>
    <col min="3984" max="3984" customWidth="1" width="8"/>
    <col min="3985" max="3985" customWidth="1" width="8"/>
    <col min="3986" max="3986" customWidth="1" width="8"/>
    <col min="3987" max="3987" customWidth="1" width="8"/>
    <col min="3988" max="3988" customWidth="1" width="8"/>
    <col min="3989" max="3989" customWidth="1" width="8"/>
    <col min="3990" max="3990" customWidth="1" width="8"/>
    <col min="3991" max="3991" customWidth="1" width="8"/>
    <col min="3992" max="3992" customWidth="1" width="8"/>
    <col min="3993" max="3993" customWidth="1" width="8"/>
    <col min="3994" max="3994" customWidth="1" width="8"/>
    <col min="3995" max="3995" customWidth="1" width="8"/>
    <col min="3996" max="3996" customWidth="1" width="8"/>
    <col min="3997" max="3997" customWidth="1" width="8"/>
    <col min="3998" max="3998" customWidth="1" width="8"/>
    <col min="3999" max="3999" customWidth="1" width="8"/>
    <col min="4000" max="4000" customWidth="1" width="8"/>
    <col min="4001" max="4001" customWidth="1" width="8"/>
    <col min="4002" max="4002" customWidth="1" width="8"/>
    <col min="4003" max="4003" customWidth="1" width="8"/>
    <col min="4004" max="4004" customWidth="1" width="8"/>
    <col min="4005" max="4005" customWidth="1" width="8"/>
    <col min="4006" max="4006" customWidth="1" width="8"/>
    <col min="4007" max="4007" customWidth="1" width="8"/>
    <col min="4008" max="4008" customWidth="1" width="8"/>
    <col min="4009" max="4009" customWidth="1" width="8"/>
    <col min="4010" max="4010" customWidth="1" width="8"/>
    <col min="4011" max="4011" customWidth="1" width="8"/>
    <col min="4012" max="4012" customWidth="1" width="8"/>
    <col min="4013" max="4013" customWidth="1" width="8"/>
    <col min="4014" max="4014" customWidth="1" width="8"/>
    <col min="4015" max="4015" customWidth="1" width="8"/>
    <col min="4016" max="4016" customWidth="1" width="8"/>
    <col min="4017" max="4017" customWidth="1" width="8"/>
    <col min="4018" max="4018" customWidth="1" width="8"/>
    <col min="4019" max="4019" customWidth="1" width="8"/>
    <col min="4020" max="4020" customWidth="1" width="8"/>
    <col min="4021" max="4021" customWidth="1" width="8"/>
    <col min="4022" max="4022" customWidth="1" width="8"/>
    <col min="4023" max="4023" customWidth="1" width="8"/>
    <col min="4024" max="4024" customWidth="1" width="8"/>
    <col min="4025" max="4025" customWidth="1" width="8"/>
    <col min="4026" max="4026" customWidth="1" width="8"/>
    <col min="4027" max="4027" customWidth="1" width="8"/>
    <col min="4028" max="4028" customWidth="1" width="8"/>
    <col min="4029" max="4029" customWidth="1" width="8"/>
    <col min="4030" max="4030" customWidth="1" width="8"/>
    <col min="4031" max="4031" customWidth="1" width="8"/>
    <col min="4032" max="4032" customWidth="1" width="8"/>
    <col min="4033" max="4033" customWidth="1" width="8"/>
    <col min="4034" max="4034" customWidth="1" width="8"/>
    <col min="4035" max="4035" customWidth="1" width="8"/>
    <col min="4036" max="4036" customWidth="1" width="8"/>
    <col min="4037" max="4037" customWidth="1" width="8"/>
    <col min="4038" max="4038" customWidth="1" width="8"/>
    <col min="4039" max="4039" customWidth="1" width="8"/>
    <col min="4040" max="4040" customWidth="1" width="8"/>
    <col min="4041" max="4041" customWidth="1" width="8"/>
    <col min="4042" max="4042" customWidth="1" width="8"/>
    <col min="4043" max="4043" customWidth="1" width="8"/>
    <col min="4044" max="4044" customWidth="1" width="8"/>
    <col min="4045" max="4045" customWidth="1" width="8"/>
    <col min="4046" max="4046" customWidth="1" width="8"/>
    <col min="4047" max="4047" customWidth="1" width="8"/>
    <col min="4048" max="4048" customWidth="1" width="8"/>
    <col min="4049" max="4049" customWidth="1" width="8"/>
    <col min="4050" max="4050" customWidth="1" width="8"/>
    <col min="4051" max="4051" customWidth="1" width="8"/>
    <col min="4052" max="4052" customWidth="1" width="8"/>
    <col min="4053" max="4053" customWidth="1" width="8"/>
    <col min="4054" max="4054" customWidth="1" width="8"/>
    <col min="4055" max="4055" customWidth="1" width="8"/>
    <col min="4056" max="4056" customWidth="1" width="8"/>
    <col min="4057" max="4057" customWidth="1" width="8"/>
    <col min="4058" max="4058" customWidth="1" width="8"/>
    <col min="4059" max="4059" customWidth="1" width="8"/>
    <col min="4060" max="4060" customWidth="1" width="8"/>
    <col min="4061" max="4061" customWidth="1" width="8"/>
    <col min="4062" max="4062" customWidth="1" width="8"/>
    <col min="4063" max="4063" customWidth="1" width="8"/>
    <col min="4064" max="4064" customWidth="1" width="8"/>
    <col min="4065" max="4065" customWidth="1" width="8"/>
    <col min="4066" max="4066" customWidth="1" width="8"/>
    <col min="4067" max="4067" customWidth="1" width="8"/>
    <col min="4068" max="4068" customWidth="1" width="8"/>
    <col min="4069" max="4069" customWidth="1" width="8"/>
    <col min="4070" max="4070" customWidth="1" width="8"/>
    <col min="4071" max="4071" customWidth="1" width="8"/>
    <col min="4072" max="4072" customWidth="1" width="8"/>
    <col min="4073" max="4073" customWidth="1" width="8"/>
    <col min="4074" max="4074" customWidth="1" width="8"/>
    <col min="4075" max="4075" customWidth="1" width="8"/>
    <col min="4076" max="4076" customWidth="1" width="8"/>
    <col min="4077" max="4077" customWidth="1" width="8"/>
    <col min="4078" max="4078" customWidth="1" width="8"/>
    <col min="4079" max="4079" customWidth="1" width="8"/>
    <col min="4080" max="4080" customWidth="1" width="8"/>
    <col min="4081" max="4081" customWidth="1" width="8"/>
    <col min="4082" max="4082" customWidth="1" width="8"/>
    <col min="4083" max="4083" customWidth="1" width="8"/>
    <col min="4084" max="4084" customWidth="1" width="8"/>
    <col min="4085" max="4085" customWidth="1" width="8"/>
    <col min="4086" max="4086" customWidth="1" width="8"/>
    <col min="4087" max="4087" customWidth="1" width="8"/>
    <col min="4088" max="4088" customWidth="1" width="8"/>
    <col min="4089" max="4089" customWidth="1" width="8"/>
    <col min="4090" max="4090" customWidth="1" width="8"/>
    <col min="4091" max="4091" customWidth="1" width="8"/>
    <col min="4092" max="4092" customWidth="1" width="8"/>
    <col min="4093" max="4093" customWidth="1" width="8"/>
    <col min="4094" max="4094" customWidth="1" width="8"/>
    <col min="4095" max="4095" customWidth="1" width="8"/>
    <col min="4096" max="4096" customWidth="1" width="8"/>
    <col min="4097" max="4097" customWidth="1" width="8"/>
    <col min="4098" max="4098" customWidth="1" width="8"/>
    <col min="4099" max="4099" customWidth="1" width="8"/>
    <col min="4100" max="4100" customWidth="1" width="8"/>
    <col min="4101" max="4101" customWidth="1" width="8"/>
    <col min="4102" max="4102" customWidth="1" width="8"/>
    <col min="4103" max="4103" customWidth="1" width="8"/>
    <col min="4104" max="4104" customWidth="1" width="8"/>
    <col min="4105" max="4105" customWidth="1" width="8"/>
    <col min="4106" max="4106" customWidth="1" width="8"/>
    <col min="4107" max="4107" customWidth="1" width="8"/>
    <col min="4108" max="4108" customWidth="1" width="8"/>
    <col min="4109" max="4109" customWidth="1" width="8"/>
    <col min="4110" max="4110" customWidth="1" width="8"/>
    <col min="4111" max="4111" customWidth="1" width="8"/>
    <col min="4112" max="4112" customWidth="1" width="8"/>
    <col min="4113" max="4113" customWidth="1" width="8"/>
    <col min="4114" max="4114" customWidth="1" width="8"/>
    <col min="4115" max="4115" customWidth="1" width="8"/>
    <col min="4116" max="4116" customWidth="1" width="8"/>
    <col min="4117" max="4117" customWidth="1" width="8"/>
    <col min="4118" max="4118" customWidth="1" width="8"/>
    <col min="4119" max="4119" customWidth="1" width="8"/>
    <col min="4120" max="4120" customWidth="1" width="8"/>
    <col min="4121" max="4121" customWidth="1" width="8"/>
    <col min="4122" max="4122" customWidth="1" width="8"/>
    <col min="4123" max="4123" customWidth="1" width="8"/>
    <col min="4124" max="4124" customWidth="1" width="8"/>
    <col min="4125" max="4125" customWidth="1" width="8"/>
    <col min="4126" max="4126" customWidth="1" width="8"/>
    <col min="4127" max="4127" customWidth="1" width="8"/>
    <col min="4128" max="4128" customWidth="1" width="8"/>
    <col min="4129" max="4129" customWidth="1" width="8"/>
    <col min="4130" max="4130" customWidth="1" width="8"/>
    <col min="4131" max="4131" customWidth="1" width="8"/>
    <col min="4132" max="4132" customWidth="1" width="8"/>
    <col min="4133" max="4133" customWidth="1" width="8"/>
    <col min="4134" max="4134" customWidth="1" width="8"/>
    <col min="4135" max="4135" customWidth="1" width="8"/>
    <col min="4136" max="4136" customWidth="1" width="8"/>
    <col min="4137" max="4137" customWidth="1" width="8"/>
    <col min="4138" max="4138" customWidth="1" width="8"/>
    <col min="4139" max="4139" customWidth="1" width="8"/>
    <col min="4140" max="4140" customWidth="1" width="8"/>
    <col min="4141" max="4141" customWidth="1" width="8"/>
    <col min="4142" max="4142" customWidth="1" width="8"/>
    <col min="4143" max="4143" customWidth="1" width="8"/>
    <col min="4144" max="4144" customWidth="1" width="8"/>
    <col min="4145" max="4145" customWidth="1" width="8"/>
    <col min="4146" max="4146" customWidth="1" width="8"/>
    <col min="4147" max="4147" customWidth="1" width="8"/>
    <col min="4148" max="4148" customWidth="1" width="8"/>
    <col min="4149" max="4149" customWidth="1" width="8"/>
    <col min="4150" max="4150" customWidth="1" width="8"/>
    <col min="4151" max="4151" customWidth="1" width="8"/>
    <col min="4152" max="4152" customWidth="1" width="8"/>
    <col min="4153" max="4153" customWidth="1" width="8"/>
    <col min="4154" max="4154" customWidth="1" width="8"/>
    <col min="4155" max="4155" customWidth="1" width="8"/>
    <col min="4156" max="4156" customWidth="1" width="8"/>
    <col min="4157" max="4157" customWidth="1" width="8"/>
    <col min="4158" max="4158" customWidth="1" width="8"/>
    <col min="4159" max="4159" customWidth="1" width="8"/>
    <col min="4160" max="4160" customWidth="1" width="8"/>
    <col min="4161" max="4161" customWidth="1" width="8"/>
    <col min="4162" max="4162" customWidth="1" width="8"/>
    <col min="4163" max="4163" customWidth="1" width="8"/>
    <col min="4164" max="4164" customWidth="1" width="8"/>
    <col min="4165" max="4165" customWidth="1" width="8"/>
    <col min="4166" max="4166" customWidth="1" width="8"/>
    <col min="4167" max="4167" customWidth="1" width="8"/>
    <col min="4168" max="4168" customWidth="1" width="8"/>
    <col min="4169" max="4169" customWidth="1" width="8"/>
    <col min="4170" max="4170" customWidth="1" width="8"/>
    <col min="4171" max="4171" customWidth="1" width="8"/>
    <col min="4172" max="4172" customWidth="1" width="8"/>
    <col min="4173" max="4173" customWidth="1" width="8"/>
    <col min="4174" max="4174" customWidth="1" width="8"/>
    <col min="4175" max="4175" customWidth="1" width="8"/>
    <col min="4176" max="4176" customWidth="1" width="8"/>
    <col min="4177" max="4177" customWidth="1" width="8"/>
    <col min="4178" max="4178" customWidth="1" width="8"/>
    <col min="4179" max="4179" customWidth="1" width="8"/>
    <col min="4180" max="4180" customWidth="1" width="8"/>
    <col min="4181" max="4181" customWidth="1" width="8"/>
    <col min="4182" max="4182" customWidth="1" width="8"/>
    <col min="4183" max="4183" customWidth="1" width="8"/>
    <col min="4184" max="4184" customWidth="1" width="8"/>
    <col min="4185" max="4185" customWidth="1" width="8"/>
    <col min="4186" max="4186" customWidth="1" width="8"/>
    <col min="4187" max="4187" customWidth="1" width="8"/>
    <col min="4188" max="4188" customWidth="1" width="8"/>
    <col min="4189" max="4189" customWidth="1" width="8"/>
    <col min="4190" max="4190" customWidth="1" width="8"/>
    <col min="4191" max="4191" customWidth="1" width="8"/>
    <col min="4192" max="4192" customWidth="1" width="8"/>
    <col min="4193" max="4193" customWidth="1" width="8"/>
    <col min="4194" max="4194" customWidth="1" width="8"/>
    <col min="4195" max="4195" customWidth="1" width="8"/>
    <col min="4196" max="4196" customWidth="1" width="8"/>
    <col min="4197" max="4197" customWidth="1" width="8"/>
    <col min="4198" max="4198" customWidth="1" width="8"/>
    <col min="4199" max="4199" customWidth="1" width="8"/>
    <col min="4200" max="4200" customWidth="1" width="8"/>
    <col min="4201" max="4201" customWidth="1" width="8"/>
    <col min="4202" max="4202" customWidth="1" width="8"/>
    <col min="4203" max="4203" customWidth="1" width="8"/>
    <col min="4204" max="4204" customWidth="1" width="8"/>
    <col min="4205" max="4205" customWidth="1" width="8"/>
    <col min="4206" max="4206" customWidth="1" width="8"/>
    <col min="4207" max="4207" customWidth="1" width="8"/>
    <col min="4208" max="4208" customWidth="1" width="8"/>
    <col min="4209" max="4209" customWidth="1" width="8"/>
    <col min="4210" max="4210" customWidth="1" width="8"/>
    <col min="4211" max="4211" customWidth="1" width="8"/>
    <col min="4212" max="4212" customWidth="1" width="8"/>
    <col min="4213" max="4213" customWidth="1" width="8"/>
    <col min="4214" max="4214" customWidth="1" width="8"/>
    <col min="4215" max="4215" customWidth="1" width="8"/>
    <col min="4216" max="4216" customWidth="1" width="8"/>
    <col min="4217" max="4217" customWidth="1" width="8"/>
    <col min="4218" max="4218" customWidth="1" width="8"/>
    <col min="4219" max="4219" customWidth="1" width="8"/>
    <col min="4220" max="4220" customWidth="1" width="8"/>
    <col min="4221" max="4221" customWidth="1" width="8"/>
    <col min="4222" max="4222" customWidth="1" width="8"/>
    <col min="4223" max="4223" customWidth="1" width="8"/>
    <col min="4224" max="4224" customWidth="1" width="8"/>
    <col min="4225" max="4225" customWidth="1" width="8"/>
    <col min="4226" max="4226" customWidth="1" width="8"/>
    <col min="4227" max="4227" customWidth="1" width="8"/>
    <col min="4228" max="4228" customWidth="1" width="8"/>
    <col min="4229" max="4229" customWidth="1" width="8"/>
    <col min="4230" max="4230" customWidth="1" width="8"/>
    <col min="4231" max="4231" customWidth="1" width="8"/>
    <col min="4232" max="4232" customWidth="1" width="8"/>
    <col min="4233" max="4233" customWidth="1" width="8"/>
    <col min="4234" max="4234" customWidth="1" width="8"/>
    <col min="4235" max="4235" customWidth="1" width="8"/>
    <col min="4236" max="4236" customWidth="1" width="8"/>
    <col min="4237" max="4237" customWidth="1" width="8"/>
    <col min="4238" max="4238" customWidth="1" width="8"/>
    <col min="4239" max="4239" customWidth="1" width="8"/>
    <col min="4240" max="4240" customWidth="1" width="8"/>
    <col min="4241" max="4241" customWidth="1" width="8"/>
    <col min="4242" max="4242" customWidth="1" width="8"/>
    <col min="4243" max="4243" customWidth="1" width="8"/>
    <col min="4244" max="4244" customWidth="1" width="8"/>
    <col min="4245" max="4245" customWidth="1" width="8"/>
    <col min="4246" max="4246" customWidth="1" width="8"/>
    <col min="4247" max="4247" customWidth="1" width="8"/>
    <col min="4248" max="4248" customWidth="1" width="8"/>
    <col min="4249" max="4249" customWidth="1" width="8"/>
    <col min="4250" max="4250" customWidth="1" width="8"/>
    <col min="4251" max="4251" customWidth="1" width="8"/>
    <col min="4252" max="4252" customWidth="1" width="8"/>
    <col min="4253" max="4253" customWidth="1" width="8"/>
    <col min="4254" max="4254" customWidth="1" width="8"/>
    <col min="4255" max="4255" customWidth="1" width="8"/>
    <col min="4256" max="4256" customWidth="1" width="8"/>
    <col min="4257" max="4257" customWidth="1" width="8"/>
    <col min="4258" max="4258" customWidth="1" width="8"/>
    <col min="4259" max="4259" customWidth="1" width="8"/>
    <col min="4260" max="4260" customWidth="1" width="8"/>
    <col min="4261" max="4261" customWidth="1" width="8"/>
    <col min="4262" max="4262" customWidth="1" width="8"/>
    <col min="4263" max="4263" customWidth="1" width="8"/>
    <col min="4264" max="4264" customWidth="1" width="8"/>
    <col min="4265" max="4265" customWidth="1" width="8"/>
    <col min="4266" max="4266" customWidth="1" width="8"/>
    <col min="4267" max="4267" customWidth="1" width="8"/>
    <col min="4268" max="4268" customWidth="1" width="8"/>
    <col min="4269" max="4269" customWidth="1" width="8"/>
    <col min="4270" max="4270" customWidth="1" width="8"/>
    <col min="4271" max="4271" customWidth="1" width="8"/>
    <col min="4272" max="4272" customWidth="1" width="8"/>
    <col min="4273" max="4273" customWidth="1" width="8"/>
    <col min="4274" max="4274" customWidth="1" width="8"/>
    <col min="4275" max="4275" customWidth="1" width="8"/>
    <col min="4276" max="4276" customWidth="1" width="8"/>
    <col min="4277" max="4277" customWidth="1" width="8"/>
    <col min="4278" max="4278" customWidth="1" width="8"/>
    <col min="4279" max="4279" customWidth="1" width="8"/>
    <col min="4280" max="4280" customWidth="1" width="8"/>
    <col min="4281" max="4281" customWidth="1" width="8"/>
    <col min="4282" max="4282" customWidth="1" width="8"/>
    <col min="4283" max="4283" customWidth="1" width="8"/>
    <col min="4284" max="4284" customWidth="1" width="8"/>
    <col min="4285" max="4285" customWidth="1" width="8"/>
    <col min="4286" max="4286" customWidth="1" width="8"/>
    <col min="4287" max="4287" customWidth="1" width="8"/>
    <col min="4288" max="4288" customWidth="1" width="8"/>
    <col min="4289" max="4289" customWidth="1" width="8"/>
    <col min="4290" max="4290" customWidth="1" width="8"/>
    <col min="4291" max="4291" customWidth="1" width="8"/>
    <col min="4292" max="4292" customWidth="1" width="8"/>
    <col min="4293" max="4293" customWidth="1" width="8"/>
    <col min="4294" max="4294" customWidth="1" width="8"/>
    <col min="4295" max="4295" customWidth="1" width="8"/>
    <col min="4296" max="4296" customWidth="1" width="8"/>
    <col min="4297" max="4297" customWidth="1" width="8"/>
    <col min="4298" max="4298" customWidth="1" width="8"/>
    <col min="4299" max="4299" customWidth="1" width="8"/>
    <col min="4300" max="4300" customWidth="1" width="8"/>
    <col min="4301" max="4301" customWidth="1" width="8"/>
    <col min="4302" max="4302" customWidth="1" width="8"/>
    <col min="4303" max="4303" customWidth="1" width="8"/>
    <col min="4304" max="4304" customWidth="1" width="8"/>
    <col min="4305" max="4305" customWidth="1" width="8"/>
    <col min="4306" max="4306" customWidth="1" width="8"/>
    <col min="4307" max="4307" customWidth="1" width="8"/>
    <col min="4308" max="4308" customWidth="1" width="8"/>
    <col min="4309" max="4309" customWidth="1" width="8"/>
    <col min="4310" max="4310" customWidth="1" width="8"/>
    <col min="4311" max="4311" customWidth="1" width="8"/>
    <col min="4312" max="4312" customWidth="1" width="8"/>
    <col min="4313" max="4313" customWidth="1" width="8"/>
    <col min="4314" max="4314" customWidth="1" width="8"/>
    <col min="4315" max="4315" customWidth="1" width="8"/>
    <col min="4316" max="4316" customWidth="1" width="8"/>
    <col min="4317" max="4317" customWidth="1" width="8"/>
    <col min="4318" max="4318" customWidth="1" width="8"/>
    <col min="4319" max="4319" customWidth="1" width="8"/>
    <col min="4320" max="4320" customWidth="1" width="8"/>
    <col min="4321" max="4321" customWidth="1" width="8"/>
    <col min="4322" max="4322" customWidth="1" width="8"/>
    <col min="4323" max="4323" customWidth="1" width="8"/>
    <col min="4324" max="4324" customWidth="1" width="8"/>
    <col min="4325" max="4325" customWidth="1" width="8"/>
    <col min="4326" max="4326" customWidth="1" width="8"/>
    <col min="4327" max="4327" customWidth="1" width="8"/>
    <col min="4328" max="4328" customWidth="1" width="8"/>
    <col min="4329" max="4329" customWidth="1" width="8"/>
    <col min="4330" max="4330" customWidth="1" width="8"/>
    <col min="4331" max="4331" customWidth="1" width="8"/>
    <col min="4332" max="4332" customWidth="1" width="8"/>
    <col min="4333" max="4333" customWidth="1" width="8"/>
    <col min="4334" max="4334" customWidth="1" width="8"/>
    <col min="4335" max="4335" customWidth="1" width="8"/>
    <col min="4336" max="4336" customWidth="1" width="8"/>
    <col min="4337" max="4337" customWidth="1" width="8"/>
    <col min="4338" max="4338" customWidth="1" width="8"/>
    <col min="4339" max="4339" customWidth="1" width="8"/>
    <col min="4340" max="4340" customWidth="1" width="8"/>
    <col min="4341" max="4341" customWidth="1" width="8"/>
    <col min="4342" max="4342" customWidth="1" width="8"/>
    <col min="4343" max="4343" customWidth="1" width="8"/>
    <col min="4344" max="4344" customWidth="1" width="8"/>
    <col min="4345" max="4345" customWidth="1" width="8"/>
    <col min="4346" max="4346" customWidth="1" width="8"/>
    <col min="4347" max="4347" customWidth="1" width="8"/>
    <col min="4348" max="4348" customWidth="1" width="8"/>
    <col min="4349" max="4349" customWidth="1" width="8"/>
    <col min="4350" max="4350" customWidth="1" width="8"/>
    <col min="4351" max="4351" customWidth="1" width="8"/>
    <col min="4352" max="4352" customWidth="1" width="8"/>
    <col min="4353" max="4353" customWidth="1" width="8"/>
    <col min="4354" max="4354" customWidth="1" width="8"/>
    <col min="4355" max="4355" customWidth="1" width="8"/>
    <col min="4356" max="4356" customWidth="1" width="8"/>
    <col min="4357" max="4357" customWidth="1" width="8"/>
    <col min="4358" max="4358" customWidth="1" width="8"/>
    <col min="4359" max="4359" customWidth="1" width="8"/>
    <col min="4360" max="4360" customWidth="1" width="8"/>
    <col min="4361" max="4361" customWidth="1" width="8"/>
    <col min="4362" max="4362" customWidth="1" width="8"/>
    <col min="4363" max="4363" customWidth="1" width="8"/>
    <col min="4364" max="4364" customWidth="1" width="8"/>
    <col min="4365" max="4365" customWidth="1" width="8"/>
    <col min="4366" max="4366" customWidth="1" width="8"/>
    <col min="4367" max="4367" customWidth="1" width="8"/>
    <col min="4368" max="4368" customWidth="1" width="8"/>
    <col min="4369" max="4369" customWidth="1" width="8"/>
    <col min="4370" max="4370" customWidth="1" width="8"/>
    <col min="4371" max="4371" customWidth="1" width="8"/>
    <col min="4372" max="4372" customWidth="1" width="8"/>
    <col min="4373" max="4373" customWidth="1" width="8"/>
    <col min="4374" max="4374" customWidth="1" width="8"/>
    <col min="4375" max="4375" customWidth="1" width="8"/>
    <col min="4376" max="4376" customWidth="1" width="8"/>
    <col min="4377" max="4377" customWidth="1" width="8"/>
    <col min="4378" max="4378" customWidth="1" width="8"/>
    <col min="4379" max="4379" customWidth="1" width="8"/>
    <col min="4380" max="4380" customWidth="1" width="8"/>
    <col min="4381" max="4381" customWidth="1" width="8"/>
    <col min="4382" max="4382" customWidth="1" width="8"/>
    <col min="4383" max="4383" customWidth="1" width="8"/>
    <col min="4384" max="4384" customWidth="1" width="8"/>
    <col min="4385" max="4385" customWidth="1" width="8"/>
    <col min="4386" max="4386" customWidth="1" width="8"/>
    <col min="4387" max="4387" customWidth="1" width="8"/>
    <col min="4388" max="4388" customWidth="1" width="8"/>
    <col min="4389" max="4389" customWidth="1" width="8"/>
    <col min="4390" max="4390" customWidth="1" width="8"/>
    <col min="4391" max="4391" customWidth="1" width="8"/>
    <col min="4392" max="4392" customWidth="1" width="8"/>
    <col min="4393" max="4393" customWidth="1" width="8"/>
    <col min="4394" max="4394" customWidth="1" width="8"/>
    <col min="4395" max="4395" customWidth="1" width="8"/>
    <col min="4396" max="4396" customWidth="1" width="8"/>
    <col min="4397" max="4397" customWidth="1" width="8"/>
    <col min="4398" max="4398" customWidth="1" width="8"/>
    <col min="4399" max="4399" customWidth="1" width="8"/>
    <col min="4400" max="4400" customWidth="1" width="8"/>
    <col min="4401" max="4401" customWidth="1" width="8"/>
    <col min="4402" max="4402" customWidth="1" width="8"/>
    <col min="4403" max="4403" customWidth="1" width="8"/>
    <col min="4404" max="4404" customWidth="1" width="8"/>
    <col min="4405" max="4405" customWidth="1" width="8"/>
    <col min="4406" max="4406" customWidth="1" width="8"/>
    <col min="4407" max="4407" customWidth="1" width="8"/>
    <col min="4408" max="4408" customWidth="1" width="8"/>
    <col min="4409" max="4409" customWidth="1" width="8"/>
    <col min="4410" max="4410" customWidth="1" width="8"/>
    <col min="4411" max="4411" customWidth="1" width="8"/>
    <col min="4412" max="4412" customWidth="1" width="8"/>
    <col min="4413" max="4413" customWidth="1" width="8"/>
    <col min="4414" max="4414" customWidth="1" width="8"/>
    <col min="4415" max="4415" customWidth="1" width="8"/>
    <col min="4416" max="4416" customWidth="1" width="8"/>
    <col min="4417" max="4417" customWidth="1" width="8"/>
    <col min="4418" max="4418" customWidth="1" width="8"/>
    <col min="4419" max="4419" customWidth="1" width="8"/>
    <col min="4420" max="4420" customWidth="1" width="8"/>
    <col min="4421" max="4421" customWidth="1" width="8"/>
    <col min="4422" max="4422" customWidth="1" width="8"/>
    <col min="4423" max="4423" customWidth="1" width="8"/>
    <col min="4424" max="4424" customWidth="1" width="8"/>
    <col min="4425" max="4425" customWidth="1" width="8"/>
    <col min="4426" max="4426" customWidth="1" width="8"/>
    <col min="4427" max="4427" customWidth="1" width="8"/>
    <col min="4428" max="4428" customWidth="1" width="8"/>
    <col min="4429" max="4429" customWidth="1" width="8"/>
    <col min="4430" max="4430" customWidth="1" width="8"/>
    <col min="4431" max="4431" customWidth="1" width="8"/>
    <col min="4432" max="4432" customWidth="1" width="8"/>
    <col min="4433" max="4433" customWidth="1" width="8"/>
    <col min="4434" max="4434" customWidth="1" width="8"/>
    <col min="4435" max="4435" customWidth="1" width="8"/>
    <col min="4436" max="4436" customWidth="1" width="8"/>
    <col min="4437" max="4437" customWidth="1" width="8"/>
    <col min="4438" max="4438" customWidth="1" width="8"/>
    <col min="4439" max="4439" customWidth="1" width="8"/>
    <col min="4440" max="4440" customWidth="1" width="8"/>
    <col min="4441" max="4441" customWidth="1" width="8"/>
    <col min="4442" max="4442" customWidth="1" width="8"/>
    <col min="4443" max="4443" customWidth="1" width="8"/>
    <col min="4444" max="4444" customWidth="1" width="8"/>
    <col min="4445" max="4445" customWidth="1" width="8"/>
    <col min="4446" max="4446" customWidth="1" width="8"/>
    <col min="4447" max="4447" customWidth="1" width="8"/>
    <col min="4448" max="4448" customWidth="1" width="8"/>
    <col min="4449" max="4449" customWidth="1" width="8"/>
    <col min="4450" max="4450" customWidth="1" width="8"/>
    <col min="4451" max="4451" customWidth="1" width="8"/>
    <col min="4452" max="4452" customWidth="1" width="8"/>
    <col min="4453" max="4453" customWidth="1" width="8"/>
    <col min="4454" max="4454" customWidth="1" width="8"/>
    <col min="4455" max="4455" customWidth="1" width="8"/>
    <col min="4456" max="4456" customWidth="1" width="8"/>
    <col min="4457" max="4457" customWidth="1" width="8"/>
    <col min="4458" max="4458" customWidth="1" width="8"/>
    <col min="4459" max="4459" customWidth="1" width="8"/>
    <col min="4460" max="4460" customWidth="1" width="8"/>
    <col min="4461" max="4461" customWidth="1" width="8"/>
    <col min="4462" max="4462" customWidth="1" width="8"/>
    <col min="4463" max="4463" customWidth="1" width="8"/>
    <col min="4464" max="4464" customWidth="1" width="8"/>
    <col min="4465" max="4465" customWidth="1" width="8"/>
    <col min="4466" max="4466" customWidth="1" width="8"/>
    <col min="4467" max="4467" customWidth="1" width="8"/>
    <col min="4468" max="4468" customWidth="1" width="8"/>
    <col min="4469" max="4469" customWidth="1" width="8"/>
    <col min="4470" max="4470" customWidth="1" width="8"/>
    <col min="4471" max="4471" customWidth="1" width="8"/>
    <col min="4472" max="4472" customWidth="1" width="8"/>
    <col min="4473" max="4473" customWidth="1" width="8"/>
    <col min="4474" max="4474" customWidth="1" width="8"/>
    <col min="4475" max="4475" customWidth="1" width="8"/>
    <col min="4476" max="4476" customWidth="1" width="8"/>
    <col min="4477" max="4477" customWidth="1" width="8"/>
    <col min="4478" max="4478" customWidth="1" width="8"/>
    <col min="4479" max="4479" customWidth="1" width="8"/>
    <col min="4480" max="4480" customWidth="1" width="8"/>
    <col min="4481" max="4481" customWidth="1" width="8"/>
    <col min="4482" max="4482" customWidth="1" width="8"/>
    <col min="4483" max="4483" customWidth="1" width="8"/>
    <col min="4484" max="4484" customWidth="1" width="8"/>
    <col min="4485" max="4485" customWidth="1" width="8"/>
    <col min="4486" max="4486" customWidth="1" width="8"/>
    <col min="4487" max="4487" customWidth="1" width="8"/>
    <col min="4488" max="4488" customWidth="1" width="8"/>
    <col min="4489" max="4489" customWidth="1" width="8"/>
    <col min="4490" max="4490" customWidth="1" width="8"/>
    <col min="4491" max="4491" customWidth="1" width="8"/>
    <col min="4492" max="4492" customWidth="1" width="8"/>
    <col min="4493" max="4493" customWidth="1" width="8"/>
    <col min="4494" max="4494" customWidth="1" width="8"/>
    <col min="4495" max="4495" customWidth="1" width="8"/>
    <col min="4496" max="4496" customWidth="1" width="8"/>
    <col min="4497" max="4497" customWidth="1" width="8"/>
    <col min="4498" max="4498" customWidth="1" width="8"/>
    <col min="4499" max="4499" customWidth="1" width="8"/>
    <col min="4500" max="4500" customWidth="1" width="8"/>
    <col min="4501" max="4501" customWidth="1" width="8"/>
    <col min="4502" max="4502" customWidth="1" width="8"/>
    <col min="4503" max="4503" customWidth="1" width="8"/>
    <col min="4504" max="4504" customWidth="1" width="8"/>
    <col min="4505" max="4505" customWidth="1" width="8"/>
    <col min="4506" max="4506" customWidth="1" width="8"/>
    <col min="4507" max="4507" customWidth="1" width="8"/>
    <col min="4508" max="4508" customWidth="1" width="8"/>
    <col min="4509" max="4509" customWidth="1" width="8"/>
    <col min="4510" max="4510" customWidth="1" width="8"/>
    <col min="4511" max="4511" customWidth="1" width="8"/>
    <col min="4512" max="4512" customWidth="1" width="8"/>
    <col min="4513" max="4513" customWidth="1" width="8"/>
    <col min="4514" max="4514" customWidth="1" width="8"/>
    <col min="4515" max="4515" customWidth="1" width="8"/>
    <col min="4516" max="4516" customWidth="1" width="8"/>
    <col min="4517" max="4517" customWidth="1" width="8"/>
    <col min="4518" max="4518" customWidth="1" width="8"/>
    <col min="4519" max="4519" customWidth="1" width="8"/>
    <col min="4520" max="4520" customWidth="1" width="8"/>
    <col min="4521" max="4521" customWidth="1" width="8"/>
    <col min="4522" max="4522" customWidth="1" width="8"/>
    <col min="4523" max="4523" customWidth="1" width="8"/>
    <col min="4524" max="4524" customWidth="1" width="8"/>
    <col min="4525" max="4525" customWidth="1" width="8"/>
    <col min="4526" max="4526" customWidth="1" width="8"/>
    <col min="4527" max="4527" customWidth="1" width="8"/>
    <col min="4528" max="4528" customWidth="1" width="8"/>
    <col min="4529" max="4529" customWidth="1" width="8"/>
    <col min="4530" max="4530" customWidth="1" width="8"/>
    <col min="4531" max="4531" customWidth="1" width="8"/>
    <col min="4532" max="4532" customWidth="1" width="8"/>
    <col min="4533" max="4533" customWidth="1" width="8"/>
    <col min="4534" max="4534" customWidth="1" width="8"/>
    <col min="4535" max="4535" customWidth="1" width="8"/>
    <col min="4536" max="4536" customWidth="1" width="8"/>
    <col min="4537" max="4537" customWidth="1" width="8"/>
    <col min="4538" max="4538" customWidth="1" width="8"/>
    <col min="4539" max="4539" customWidth="1" width="8"/>
    <col min="4540" max="4540" customWidth="1" width="8"/>
    <col min="4541" max="4541" customWidth="1" width="8"/>
    <col min="4542" max="4542" customWidth="1" width="8"/>
    <col min="4543" max="4543" customWidth="1" width="8"/>
    <col min="4544" max="4544" customWidth="1" width="8"/>
    <col min="4545" max="4545" customWidth="1" width="8"/>
    <col min="4546" max="4546" customWidth="1" width="8"/>
    <col min="4547" max="4547" customWidth="1" width="8"/>
    <col min="4548" max="4548" customWidth="1" width="8"/>
    <col min="4549" max="4549" customWidth="1" width="8"/>
    <col min="4550" max="4550" customWidth="1" width="8"/>
    <col min="4551" max="4551" customWidth="1" width="8"/>
    <col min="4552" max="4552" customWidth="1" width="8"/>
    <col min="4553" max="4553" customWidth="1" width="8"/>
    <col min="4554" max="4554" customWidth="1" width="8"/>
    <col min="4555" max="4555" customWidth="1" width="8"/>
    <col min="4556" max="4556" customWidth="1" width="8"/>
    <col min="4557" max="4557" customWidth="1" width="8"/>
    <col min="4558" max="4558" customWidth="1" width="8"/>
    <col min="4559" max="4559" customWidth="1" width="8"/>
    <col min="4560" max="4560" customWidth="1" width="8"/>
    <col min="4561" max="4561" customWidth="1" width="8"/>
    <col min="4562" max="4562" customWidth="1" width="8"/>
    <col min="4563" max="4563" customWidth="1" width="8"/>
    <col min="4564" max="4564" customWidth="1" width="8"/>
    <col min="4565" max="4565" customWidth="1" width="8"/>
    <col min="4566" max="4566" customWidth="1" width="8"/>
    <col min="4567" max="4567" customWidth="1" width="8"/>
    <col min="4568" max="4568" customWidth="1" width="8"/>
    <col min="4569" max="4569" customWidth="1" width="8"/>
    <col min="4570" max="4570" customWidth="1" width="8"/>
    <col min="4571" max="4571" customWidth="1" width="8"/>
    <col min="4572" max="4572" customWidth="1" width="8"/>
    <col min="4573" max="4573" customWidth="1" width="8"/>
    <col min="4574" max="4574" customWidth="1" width="8"/>
    <col min="4575" max="4575" customWidth="1" width="8"/>
    <col min="4576" max="4576" customWidth="1" width="8"/>
    <col min="4577" max="4577" customWidth="1" width="8"/>
    <col min="4578" max="4578" customWidth="1" width="8"/>
    <col min="4579" max="4579" customWidth="1" width="8"/>
    <col min="4580" max="4580" customWidth="1" width="8"/>
    <col min="4581" max="4581" customWidth="1" width="8"/>
    <col min="4582" max="4582" customWidth="1" width="8"/>
    <col min="4583" max="4583" customWidth="1" width="8"/>
    <col min="4584" max="4584" customWidth="1" width="8"/>
    <col min="4585" max="4585" customWidth="1" width="8"/>
    <col min="4586" max="4586" customWidth="1" width="8"/>
    <col min="4587" max="4587" customWidth="1" width="8"/>
    <col min="4588" max="4588" customWidth="1" width="8"/>
    <col min="4589" max="4589" customWidth="1" width="8"/>
    <col min="4590" max="4590" customWidth="1" width="8"/>
    <col min="4591" max="4591" customWidth="1" width="8"/>
    <col min="4592" max="4592" customWidth="1" width="8"/>
    <col min="4593" max="4593" customWidth="1" width="8"/>
    <col min="4594" max="4594" customWidth="1" width="8"/>
    <col min="4595" max="4595" customWidth="1" width="8"/>
    <col min="4596" max="4596" customWidth="1" width="8"/>
    <col min="4597" max="4597" customWidth="1" width="8"/>
    <col min="4598" max="4598" customWidth="1" width="8"/>
    <col min="4599" max="4599" customWidth="1" width="8"/>
    <col min="4600" max="4600" customWidth="1" width="8"/>
    <col min="4601" max="4601" customWidth="1" width="8"/>
    <col min="4602" max="4602" customWidth="1" width="8"/>
    <col min="4603" max="4603" customWidth="1" width="8"/>
    <col min="4604" max="4604" customWidth="1" width="8"/>
    <col min="4605" max="4605" customWidth="1" width="8"/>
    <col min="4606" max="4606" customWidth="1" width="8"/>
    <col min="4607" max="4607" customWidth="1" width="8"/>
    <col min="4608" max="4608" customWidth="1" width="8"/>
    <col min="4609" max="4609" customWidth="1" width="8"/>
    <col min="4610" max="4610" customWidth="1" width="8"/>
    <col min="4611" max="4611" customWidth="1" width="8"/>
    <col min="4612" max="4612" customWidth="1" width="8"/>
    <col min="4613" max="4613" customWidth="1" width="8"/>
    <col min="4614" max="4614" customWidth="1" width="8"/>
    <col min="4615" max="4615" customWidth="1" width="8"/>
    <col min="4616" max="4616" customWidth="1" width="8"/>
    <col min="4617" max="4617" customWidth="1" width="8"/>
    <col min="4618" max="4618" customWidth="1" width="8"/>
    <col min="4619" max="4619" customWidth="1" width="8"/>
    <col min="4620" max="4620" customWidth="1" width="8"/>
    <col min="4621" max="4621" customWidth="1" width="8"/>
    <col min="4622" max="4622" customWidth="1" width="8"/>
    <col min="4623" max="4623" customWidth="1" width="8"/>
    <col min="4624" max="4624" customWidth="1" width="8"/>
    <col min="4625" max="4625" customWidth="1" width="8"/>
    <col min="4626" max="4626" customWidth="1" width="8"/>
    <col min="4627" max="4627" customWidth="1" width="8"/>
    <col min="4628" max="4628" customWidth="1" width="8"/>
    <col min="4629" max="4629" customWidth="1" width="8"/>
    <col min="4630" max="4630" customWidth="1" width="8"/>
    <col min="4631" max="4631" customWidth="1" width="8"/>
    <col min="4632" max="4632" customWidth="1" width="8"/>
    <col min="4633" max="4633" customWidth="1" width="8"/>
    <col min="4634" max="4634" customWidth="1" width="8"/>
    <col min="4635" max="4635" customWidth="1" width="8"/>
    <col min="4636" max="4636" customWidth="1" width="8"/>
    <col min="4637" max="4637" customWidth="1" width="8"/>
    <col min="4638" max="4638" customWidth="1" width="8"/>
    <col min="4639" max="4639" customWidth="1" width="8"/>
    <col min="4640" max="4640" customWidth="1" width="8"/>
    <col min="4641" max="4641" customWidth="1" width="8"/>
    <col min="4642" max="4642" customWidth="1" width="8"/>
    <col min="4643" max="4643" customWidth="1" width="8"/>
    <col min="4644" max="4644" customWidth="1" width="8"/>
    <col min="4645" max="4645" customWidth="1" width="8"/>
    <col min="4646" max="4646" customWidth="1" width="8"/>
    <col min="4647" max="4647" customWidth="1" width="8"/>
    <col min="4648" max="4648" customWidth="1" width="8"/>
    <col min="4649" max="4649" customWidth="1" width="8"/>
    <col min="4650" max="4650" customWidth="1" width="8"/>
    <col min="4651" max="4651" customWidth="1" width="8"/>
    <col min="4652" max="4652" customWidth="1" width="8"/>
    <col min="4653" max="4653" customWidth="1" width="8"/>
    <col min="4654" max="4654" customWidth="1" width="8"/>
    <col min="4655" max="4655" customWidth="1" width="8"/>
    <col min="4656" max="4656" customWidth="1" width="8"/>
    <col min="4657" max="4657" customWidth="1" width="8"/>
    <col min="4658" max="4658" customWidth="1" width="8"/>
    <col min="4659" max="4659" customWidth="1" width="8"/>
    <col min="4660" max="4660" customWidth="1" width="8"/>
    <col min="4661" max="4661" customWidth="1" width="8"/>
    <col min="4662" max="4662" customWidth="1" width="8"/>
    <col min="4663" max="4663" customWidth="1" width="8"/>
    <col min="4664" max="4664" customWidth="1" width="8"/>
    <col min="4665" max="4665" customWidth="1" width="8"/>
    <col min="4666" max="4666" customWidth="1" width="8"/>
    <col min="4667" max="4667" customWidth="1" width="8"/>
    <col min="4668" max="4668" customWidth="1" width="8"/>
    <col min="4669" max="4669" customWidth="1" width="8"/>
    <col min="4670" max="4670" customWidth="1" width="8"/>
    <col min="4671" max="4671" customWidth="1" width="8"/>
    <col min="4672" max="4672" customWidth="1" width="8"/>
    <col min="4673" max="4673" customWidth="1" width="8"/>
    <col min="4674" max="4674" customWidth="1" width="8"/>
    <col min="4675" max="4675" customWidth="1" width="8"/>
    <col min="4676" max="4676" customWidth="1" width="8"/>
    <col min="4677" max="4677" customWidth="1" width="8"/>
    <col min="4678" max="4678" customWidth="1" width="8"/>
    <col min="4679" max="4679" customWidth="1" width="8"/>
    <col min="4680" max="4680" customWidth="1" width="8"/>
    <col min="4681" max="4681" customWidth="1" width="8"/>
    <col min="4682" max="4682" customWidth="1" width="8"/>
    <col min="4683" max="4683" customWidth="1" width="8"/>
    <col min="4684" max="4684" customWidth="1" width="8"/>
    <col min="4685" max="4685" customWidth="1" width="8"/>
    <col min="4686" max="4686" customWidth="1" width="8"/>
    <col min="4687" max="4687" customWidth="1" width="8"/>
    <col min="4688" max="4688" customWidth="1" width="8"/>
    <col min="4689" max="4689" customWidth="1" width="8"/>
    <col min="4690" max="4690" customWidth="1" width="8"/>
    <col min="4691" max="4691" customWidth="1" width="8"/>
    <col min="4692" max="4692" customWidth="1" width="8"/>
    <col min="4693" max="4693" customWidth="1" width="8"/>
    <col min="4694" max="4694" customWidth="1" width="8"/>
    <col min="4695" max="4695" customWidth="1" width="8"/>
    <col min="4696" max="4696" customWidth="1" width="8"/>
    <col min="4697" max="4697" customWidth="1" width="8"/>
    <col min="4698" max="4698" customWidth="1" width="8"/>
    <col min="4699" max="4699" customWidth="1" width="8"/>
    <col min="4700" max="4700" customWidth="1" width="8"/>
    <col min="4701" max="4701" customWidth="1" width="8"/>
    <col min="4702" max="4702" customWidth="1" width="8"/>
    <col min="4703" max="4703" customWidth="1" width="8"/>
    <col min="4704" max="4704" customWidth="1" width="8"/>
    <col min="4705" max="4705" customWidth="1" width="8"/>
    <col min="4706" max="4706" customWidth="1" width="8"/>
    <col min="4707" max="4707" customWidth="1" width="8"/>
    <col min="4708" max="4708" customWidth="1" width="8"/>
    <col min="4709" max="4709" customWidth="1" width="8"/>
    <col min="4710" max="4710" customWidth="1" width="8"/>
    <col min="4711" max="4711" customWidth="1" width="8"/>
    <col min="4712" max="4712" customWidth="1" width="8"/>
    <col min="4713" max="4713" customWidth="1" width="8"/>
    <col min="4714" max="4714" customWidth="1" width="8"/>
    <col min="4715" max="4715" customWidth="1" width="8"/>
    <col min="4716" max="4716" customWidth="1" width="8"/>
    <col min="4717" max="4717" customWidth="1" width="8"/>
    <col min="4718" max="4718" customWidth="1" width="8"/>
    <col min="4719" max="4719" customWidth="1" width="8"/>
    <col min="4720" max="4720" customWidth="1" width="8"/>
    <col min="4721" max="4721" customWidth="1" width="8"/>
    <col min="4722" max="4722" customWidth="1" width="8"/>
    <col min="4723" max="4723" customWidth="1" width="8"/>
    <col min="4724" max="4724" customWidth="1" width="8"/>
    <col min="4725" max="4725" customWidth="1" width="8"/>
    <col min="4726" max="4726" customWidth="1" width="8"/>
    <col min="4727" max="4727" customWidth="1" width="8"/>
    <col min="4728" max="4728" customWidth="1" width="8"/>
    <col min="4729" max="4729" customWidth="1" width="8"/>
    <col min="4730" max="4730" customWidth="1" width="8"/>
    <col min="4731" max="4731" customWidth="1" width="8"/>
    <col min="4732" max="4732" customWidth="1" width="8"/>
    <col min="4733" max="4733" customWidth="1" width="8"/>
    <col min="4734" max="4734" customWidth="1" width="8"/>
    <col min="4735" max="4735" customWidth="1" width="8"/>
    <col min="4736" max="4736" customWidth="1" width="8"/>
    <col min="4737" max="4737" customWidth="1" width="8"/>
    <col min="4738" max="4738" customWidth="1" width="8"/>
    <col min="4739" max="4739" customWidth="1" width="8"/>
    <col min="4740" max="4740" customWidth="1" width="8"/>
    <col min="4741" max="4741" customWidth="1" width="8"/>
    <col min="4742" max="4742" customWidth="1" width="8"/>
    <col min="4743" max="4743" customWidth="1" width="8"/>
    <col min="4744" max="4744" customWidth="1" width="8"/>
    <col min="4745" max="4745" customWidth="1" width="8"/>
    <col min="4746" max="4746" customWidth="1" width="8"/>
    <col min="4747" max="4747" customWidth="1" width="8"/>
    <col min="4748" max="4748" customWidth="1" width="8"/>
    <col min="4749" max="4749" customWidth="1" width="8"/>
    <col min="4750" max="4750" customWidth="1" width="8"/>
    <col min="4751" max="4751" customWidth="1" width="8"/>
    <col min="4752" max="4752" customWidth="1" width="8"/>
    <col min="4753" max="4753" customWidth="1" width="8"/>
    <col min="4754" max="4754" customWidth="1" width="8"/>
    <col min="4755" max="4755" customWidth="1" width="8"/>
    <col min="4756" max="4756" customWidth="1" width="8"/>
    <col min="4757" max="4757" customWidth="1" width="8"/>
    <col min="4758" max="4758" customWidth="1" width="8"/>
    <col min="4759" max="4759" customWidth="1" width="8"/>
    <col min="4760" max="4760" customWidth="1" width="8"/>
    <col min="4761" max="4761" customWidth="1" width="8"/>
    <col min="4762" max="4762" customWidth="1" width="8"/>
    <col min="4763" max="4763" customWidth="1" width="8"/>
    <col min="4764" max="4764" customWidth="1" width="8"/>
    <col min="4765" max="4765" customWidth="1" width="8"/>
    <col min="4766" max="4766" customWidth="1" width="8"/>
    <col min="4767" max="4767" customWidth="1" width="8"/>
    <col min="4768" max="4768" customWidth="1" width="8"/>
    <col min="4769" max="4769" customWidth="1" width="8"/>
    <col min="4770" max="4770" customWidth="1" width="8"/>
    <col min="4771" max="4771" customWidth="1" width="8"/>
    <col min="4772" max="4772" customWidth="1" width="8"/>
    <col min="4773" max="4773" customWidth="1" width="8"/>
    <col min="4774" max="4774" customWidth="1" width="8"/>
    <col min="4775" max="4775" customWidth="1" width="8"/>
    <col min="4776" max="4776" customWidth="1" width="8"/>
    <col min="4777" max="4777" customWidth="1" width="8"/>
    <col min="4778" max="4778" customWidth="1" width="8"/>
    <col min="4779" max="4779" customWidth="1" width="8"/>
    <col min="4780" max="4780" customWidth="1" width="8"/>
    <col min="4781" max="4781" customWidth="1" width="8"/>
    <col min="4782" max="4782" customWidth="1" width="8"/>
    <col min="4783" max="4783" customWidth="1" width="8"/>
    <col min="4784" max="4784" customWidth="1" width="8"/>
    <col min="4785" max="4785" customWidth="1" width="8"/>
    <col min="4786" max="4786" customWidth="1" width="8"/>
    <col min="4787" max="4787" customWidth="1" width="8"/>
    <col min="4788" max="4788" customWidth="1" width="8"/>
    <col min="4789" max="4789" customWidth="1" width="8"/>
    <col min="4790" max="4790" customWidth="1" width="8"/>
    <col min="4791" max="4791" customWidth="1" width="8"/>
    <col min="4792" max="4792" customWidth="1" width="8"/>
    <col min="4793" max="4793" customWidth="1" width="8"/>
    <col min="4794" max="4794" customWidth="1" width="8"/>
    <col min="4795" max="4795" customWidth="1" width="8"/>
    <col min="4796" max="4796" customWidth="1" width="8"/>
    <col min="4797" max="4797" customWidth="1" width="8"/>
    <col min="4798" max="4798" customWidth="1" width="8"/>
    <col min="4799" max="4799" customWidth="1" width="8"/>
    <col min="4800" max="4800" customWidth="1" width="8"/>
    <col min="4801" max="4801" customWidth="1" width="8"/>
    <col min="4802" max="4802" customWidth="1" width="8"/>
    <col min="4803" max="4803" customWidth="1" width="8"/>
    <col min="4804" max="4804" customWidth="1" width="8"/>
    <col min="4805" max="4805" customWidth="1" width="8"/>
    <col min="4806" max="4806" customWidth="1" width="8"/>
    <col min="4807" max="4807" customWidth="1" width="8"/>
    <col min="4808" max="4808" customWidth="1" width="8"/>
    <col min="4809" max="4809" customWidth="1" width="8"/>
    <col min="4810" max="4810" customWidth="1" width="8"/>
    <col min="4811" max="4811" customWidth="1" width="8"/>
    <col min="4812" max="4812" customWidth="1" width="8"/>
    <col min="4813" max="4813" customWidth="1" width="8"/>
    <col min="4814" max="4814" customWidth="1" width="8"/>
    <col min="4815" max="4815" customWidth="1" width="8"/>
    <col min="4816" max="4816" customWidth="1" width="8"/>
    <col min="4817" max="4817" customWidth="1" width="8"/>
    <col min="4818" max="4818" customWidth="1" width="8"/>
    <col min="4819" max="4819" customWidth="1" width="8"/>
    <col min="4820" max="4820" customWidth="1" width="8"/>
    <col min="4821" max="4821" customWidth="1" width="8"/>
    <col min="4822" max="4822" customWidth="1" width="8"/>
    <col min="4823" max="4823" customWidth="1" width="8"/>
    <col min="4824" max="4824" customWidth="1" width="8"/>
    <col min="4825" max="4825" customWidth="1" width="8"/>
    <col min="4826" max="4826" customWidth="1" width="8"/>
    <col min="4827" max="4827" customWidth="1" width="8"/>
    <col min="4828" max="4828" customWidth="1" width="8"/>
    <col min="4829" max="4829" customWidth="1" width="8"/>
    <col min="4830" max="4830" customWidth="1" width="8"/>
    <col min="4831" max="4831" customWidth="1" width="8"/>
    <col min="4832" max="4832" customWidth="1" width="8"/>
    <col min="4833" max="4833" customWidth="1" width="8"/>
    <col min="4834" max="4834" customWidth="1" width="8"/>
    <col min="4835" max="4835" customWidth="1" width="8"/>
    <col min="4836" max="4836" customWidth="1" width="8"/>
    <col min="4837" max="4837" customWidth="1" width="8"/>
    <col min="4838" max="4838" customWidth="1" width="8"/>
    <col min="4839" max="4839" customWidth="1" width="8"/>
    <col min="4840" max="4840" customWidth="1" width="8"/>
    <col min="4841" max="4841" customWidth="1" width="8"/>
    <col min="4842" max="4842" customWidth="1" width="8"/>
    <col min="4843" max="4843" customWidth="1" width="8"/>
    <col min="4844" max="4844" customWidth="1" width="8"/>
    <col min="4845" max="4845" customWidth="1" width="8"/>
    <col min="4846" max="4846" customWidth="1" width="8"/>
    <col min="4847" max="4847" customWidth="1" width="8"/>
    <col min="4848" max="4848" customWidth="1" width="8"/>
    <col min="4849" max="4849" customWidth="1" width="8"/>
    <col min="4850" max="4850" customWidth="1" width="8"/>
    <col min="4851" max="4851" customWidth="1" width="8"/>
    <col min="4852" max="4852" customWidth="1" width="8"/>
    <col min="4853" max="4853" customWidth="1" width="8"/>
    <col min="4854" max="4854" customWidth="1" width="8"/>
    <col min="4855" max="4855" customWidth="1" width="8"/>
    <col min="4856" max="4856" customWidth="1" width="8"/>
    <col min="4857" max="4857" customWidth="1" width="8"/>
    <col min="4858" max="4858" customWidth="1" width="8"/>
    <col min="4859" max="4859" customWidth="1" width="8"/>
    <col min="4860" max="4860" customWidth="1" width="8"/>
    <col min="4861" max="4861" customWidth="1" width="8"/>
    <col min="4862" max="4862" customWidth="1" width="8"/>
    <col min="4863" max="4863" customWidth="1" width="8"/>
    <col min="4864" max="4864" customWidth="1" width="8"/>
    <col min="4865" max="4865" customWidth="1" width="8"/>
    <col min="4866" max="4866" customWidth="1" width="8"/>
    <col min="4867" max="4867" customWidth="1" width="8"/>
    <col min="4868" max="4868" customWidth="1" width="8"/>
    <col min="4869" max="4869" customWidth="1" width="8"/>
    <col min="4870" max="4870" customWidth="1" width="8"/>
    <col min="4871" max="4871" customWidth="1" width="8"/>
    <col min="4872" max="4872" customWidth="1" width="8"/>
    <col min="4873" max="4873" customWidth="1" width="8"/>
    <col min="4874" max="4874" customWidth="1" width="8"/>
    <col min="4875" max="4875" customWidth="1" width="8"/>
    <col min="4876" max="4876" customWidth="1" width="8"/>
    <col min="4877" max="4877" customWidth="1" width="8"/>
    <col min="4878" max="4878" customWidth="1" width="8"/>
    <col min="4879" max="4879" customWidth="1" width="8"/>
    <col min="4880" max="4880" customWidth="1" width="8"/>
    <col min="4881" max="4881" customWidth="1" width="8"/>
    <col min="4882" max="4882" customWidth="1" width="8"/>
    <col min="4883" max="4883" customWidth="1" width="8"/>
    <col min="4884" max="4884" customWidth="1" width="8"/>
    <col min="4885" max="4885" customWidth="1" width="8"/>
    <col min="4886" max="4886" customWidth="1" width="8"/>
    <col min="4887" max="4887" customWidth="1" width="8"/>
    <col min="4888" max="4888" customWidth="1" width="8"/>
    <col min="4889" max="4889" customWidth="1" width="8"/>
    <col min="4890" max="4890" customWidth="1" width="8"/>
    <col min="4891" max="4891" customWidth="1" width="8"/>
    <col min="4892" max="4892" customWidth="1" width="8"/>
    <col min="4893" max="4893" customWidth="1" width="8"/>
    <col min="4894" max="4894" customWidth="1" width="8"/>
    <col min="4895" max="4895" customWidth="1" width="8"/>
    <col min="4896" max="4896" customWidth="1" width="8"/>
    <col min="4897" max="4897" customWidth="1" width="8"/>
    <col min="4898" max="4898" customWidth="1" width="8"/>
    <col min="4899" max="4899" customWidth="1" width="8"/>
    <col min="4900" max="4900" customWidth="1" width="8"/>
    <col min="4901" max="4901" customWidth="1" width="8"/>
    <col min="4902" max="4902" customWidth="1" width="8"/>
    <col min="4903" max="4903" customWidth="1" width="8"/>
    <col min="4904" max="4904" customWidth="1" width="8"/>
    <col min="4905" max="4905" customWidth="1" width="8"/>
    <col min="4906" max="4906" customWidth="1" width="8"/>
    <col min="4907" max="4907" customWidth="1" width="8"/>
    <col min="4908" max="4908" customWidth="1" width="8"/>
    <col min="4909" max="4909" customWidth="1" width="8"/>
    <col min="4910" max="4910" customWidth="1" width="8"/>
    <col min="4911" max="4911" customWidth="1" width="8"/>
    <col min="4912" max="4912" customWidth="1" width="8"/>
    <col min="4913" max="4913" customWidth="1" width="8"/>
    <col min="4914" max="4914" customWidth="1" width="8"/>
    <col min="4915" max="4915" customWidth="1" width="8"/>
    <col min="4916" max="4916" customWidth="1" width="8"/>
    <col min="4917" max="4917" customWidth="1" width="8"/>
    <col min="4918" max="4918" customWidth="1" width="8"/>
    <col min="4919" max="4919" customWidth="1" width="8"/>
    <col min="4920" max="4920" customWidth="1" width="8"/>
    <col min="4921" max="4921" customWidth="1" width="8"/>
    <col min="4922" max="4922" customWidth="1" width="8"/>
    <col min="4923" max="4923" customWidth="1" width="8"/>
    <col min="4924" max="4924" customWidth="1" width="8"/>
    <col min="4925" max="4925" customWidth="1" width="8"/>
    <col min="4926" max="4926" customWidth="1" width="8"/>
    <col min="4927" max="4927" customWidth="1" width="8"/>
    <col min="4928" max="4928" customWidth="1" width="8"/>
    <col min="4929" max="4929" customWidth="1" width="8"/>
    <col min="4930" max="4930" customWidth="1" width="8"/>
    <col min="4931" max="4931" customWidth="1" width="8"/>
    <col min="4932" max="4932" customWidth="1" width="8"/>
    <col min="4933" max="4933" customWidth="1" width="8"/>
    <col min="4934" max="4934" customWidth="1" width="8"/>
    <col min="4935" max="4935" customWidth="1" width="8"/>
    <col min="4936" max="4936" customWidth="1" width="8"/>
    <col min="4937" max="4937" customWidth="1" width="8"/>
    <col min="4938" max="4938" customWidth="1" width="8"/>
    <col min="4939" max="4939" customWidth="1" width="8"/>
    <col min="4940" max="4940" customWidth="1" width="8"/>
    <col min="4941" max="4941" customWidth="1" width="8"/>
    <col min="4942" max="4942" customWidth="1" width="8"/>
    <col min="4943" max="4943" customWidth="1" width="8"/>
    <col min="4944" max="4944" customWidth="1" width="8"/>
    <col min="4945" max="4945" customWidth="1" width="8"/>
    <col min="4946" max="4946" customWidth="1" width="8"/>
    <col min="4947" max="4947" customWidth="1" width="8"/>
    <col min="4948" max="4948" customWidth="1" width="8"/>
    <col min="4949" max="4949" customWidth="1" width="8"/>
    <col min="4950" max="4950" customWidth="1" width="8"/>
    <col min="4951" max="4951" customWidth="1" width="8"/>
    <col min="4952" max="4952" customWidth="1" width="8"/>
    <col min="4953" max="4953" customWidth="1" width="8"/>
    <col min="4954" max="4954" customWidth="1" width="8"/>
    <col min="4955" max="4955" customWidth="1" width="8"/>
    <col min="4956" max="4956" customWidth="1" width="8"/>
    <col min="4957" max="4957" customWidth="1" width="8"/>
    <col min="4958" max="4958" customWidth="1" width="8"/>
    <col min="4959" max="4959" customWidth="1" width="8"/>
    <col min="4960" max="4960" customWidth="1" width="8"/>
    <col min="4961" max="4961" customWidth="1" width="8"/>
    <col min="4962" max="4962" customWidth="1" width="8"/>
    <col min="4963" max="4963" customWidth="1" width="8"/>
    <col min="4964" max="4964" customWidth="1" width="8"/>
    <col min="4965" max="4965" customWidth="1" width="8"/>
    <col min="4966" max="4966" customWidth="1" width="8"/>
    <col min="4967" max="4967" customWidth="1" width="8"/>
    <col min="4968" max="4968" customWidth="1" width="8"/>
    <col min="4969" max="4969" customWidth="1" width="8"/>
    <col min="4970" max="4970" customWidth="1" width="8"/>
    <col min="4971" max="4971" customWidth="1" width="8"/>
    <col min="4972" max="4972" customWidth="1" width="8"/>
    <col min="4973" max="4973" customWidth="1" width="8"/>
    <col min="4974" max="4974" customWidth="1" width="8"/>
    <col min="4975" max="4975" customWidth="1" width="8"/>
    <col min="4976" max="4976" customWidth="1" width="8"/>
    <col min="4977" max="4977" customWidth="1" width="8"/>
    <col min="4978" max="4978" customWidth="1" width="8"/>
    <col min="4979" max="4979" customWidth="1" width="8"/>
    <col min="4980" max="4980" customWidth="1" width="8"/>
    <col min="4981" max="4981" customWidth="1" width="8"/>
    <col min="4982" max="4982" customWidth="1" width="8"/>
    <col min="4983" max="4983" customWidth="1" width="8"/>
    <col min="4984" max="4984" customWidth="1" width="8"/>
    <col min="4985" max="4985" customWidth="1" width="8"/>
    <col min="4986" max="4986" customWidth="1" width="8"/>
    <col min="4987" max="4987" customWidth="1" width="8"/>
    <col min="4988" max="4988" customWidth="1" width="8"/>
    <col min="4989" max="4989" customWidth="1" width="8"/>
    <col min="4990" max="4990" customWidth="1" width="8"/>
    <col min="4991" max="4991" customWidth="1" width="8"/>
    <col min="4992" max="4992" customWidth="1" width="8"/>
    <col min="4993" max="4993" customWidth="1" width="8"/>
    <col min="4994" max="4994" customWidth="1" width="8"/>
    <col min="4995" max="4995" customWidth="1" width="8"/>
    <col min="4996" max="4996" customWidth="1" width="8"/>
    <col min="4997" max="4997" customWidth="1" width="8"/>
    <col min="4998" max="4998" customWidth="1" width="8"/>
    <col min="4999" max="4999" customWidth="1" width="8"/>
    <col min="5000" max="5000" customWidth="1" width="8"/>
    <col min="5001" max="5001" customWidth="1" width="8"/>
    <col min="5002" max="5002" customWidth="1" width="8"/>
    <col min="5003" max="5003" customWidth="1" width="8"/>
    <col min="5004" max="5004" customWidth="1" width="8"/>
    <col min="5005" max="5005" customWidth="1" width="8"/>
    <col min="5006" max="5006" customWidth="1" width="8"/>
    <col min="5007" max="5007" customWidth="1" width="8"/>
    <col min="5008" max="5008" customWidth="1" width="8"/>
    <col min="5009" max="5009" customWidth="1" width="8"/>
    <col min="5010" max="5010" customWidth="1" width="8"/>
    <col min="5011" max="5011" customWidth="1" width="8"/>
    <col min="5012" max="5012" customWidth="1" width="8"/>
    <col min="5013" max="5013" customWidth="1" width="8"/>
    <col min="5014" max="5014" customWidth="1" width="8"/>
    <col min="5015" max="5015" customWidth="1" width="8"/>
    <col min="5016" max="5016" customWidth="1" width="8"/>
    <col min="5017" max="5017" customWidth="1" width="8"/>
    <col min="5018" max="5018" customWidth="1" width="8"/>
    <col min="5019" max="5019" customWidth="1" width="8"/>
    <col min="5020" max="5020" customWidth="1" width="8"/>
    <col min="5021" max="5021" customWidth="1" width="8"/>
    <col min="5022" max="5022" customWidth="1" width="8"/>
    <col min="5023" max="5023" customWidth="1" width="8"/>
    <col min="5024" max="5024" customWidth="1" width="8"/>
    <col min="5025" max="5025" customWidth="1" width="8"/>
    <col min="5026" max="5026" customWidth="1" width="8"/>
    <col min="5027" max="5027" customWidth="1" width="8"/>
    <col min="5028" max="5028" customWidth="1" width="8"/>
    <col min="5029" max="5029" customWidth="1" width="8"/>
    <col min="5030" max="5030" customWidth="1" width="8"/>
    <col min="5031" max="5031" customWidth="1" width="8"/>
    <col min="5032" max="5032" customWidth="1" width="8"/>
    <col min="5033" max="5033" customWidth="1" width="8"/>
    <col min="5034" max="5034" customWidth="1" width="8"/>
    <col min="5035" max="5035" customWidth="1" width="8"/>
    <col min="5036" max="5036" customWidth="1" width="8"/>
    <col min="5037" max="5037" customWidth="1" width="8"/>
    <col min="5038" max="5038" customWidth="1" width="8"/>
    <col min="5039" max="5039" customWidth="1" width="8"/>
    <col min="5040" max="5040" customWidth="1" width="8"/>
    <col min="5041" max="5041" customWidth="1" width="8"/>
    <col min="5042" max="5042" customWidth="1" width="8"/>
    <col min="5043" max="5043" customWidth="1" width="8"/>
    <col min="5044" max="5044" customWidth="1" width="8"/>
    <col min="5045" max="5045" customWidth="1" width="8"/>
    <col min="5046" max="5046" customWidth="1" width="8"/>
    <col min="5047" max="5047" customWidth="1" width="8"/>
    <col min="5048" max="5048" customWidth="1" width="8"/>
    <col min="5049" max="5049" customWidth="1" width="8"/>
    <col min="5050" max="5050" customWidth="1" width="8"/>
    <col min="5051" max="5051" customWidth="1" width="8"/>
    <col min="5052" max="5052" customWidth="1" width="8"/>
    <col min="5053" max="5053" customWidth="1" width="8"/>
    <col min="5054" max="5054" customWidth="1" width="8"/>
    <col min="5055" max="5055" customWidth="1" width="8"/>
    <col min="5056" max="5056" customWidth="1" width="8"/>
    <col min="5057" max="5057" customWidth="1" width="8"/>
    <col min="5058" max="5058" customWidth="1" width="8"/>
    <col min="5059" max="5059" customWidth="1" width="8"/>
    <col min="5060" max="5060" customWidth="1" width="8"/>
    <col min="5061" max="5061" customWidth="1" width="8"/>
    <col min="5062" max="5062" customWidth="1" width="8"/>
    <col min="5063" max="5063" customWidth="1" width="8"/>
    <col min="5064" max="5064" customWidth="1" width="8"/>
    <col min="5065" max="5065" customWidth="1" width="8"/>
    <col min="5066" max="5066" customWidth="1" width="8"/>
    <col min="5067" max="5067" customWidth="1" width="8"/>
    <col min="5068" max="5068" customWidth="1" width="8"/>
    <col min="5069" max="5069" customWidth="1" width="8"/>
    <col min="5070" max="5070" customWidth="1" width="8"/>
    <col min="5071" max="5071" customWidth="1" width="8"/>
    <col min="5072" max="5072" customWidth="1" width="8"/>
    <col min="5073" max="5073" customWidth="1" width="8"/>
    <col min="5074" max="5074" customWidth="1" width="8"/>
    <col min="5075" max="5075" customWidth="1" width="8"/>
    <col min="5076" max="5076" customWidth="1" width="8"/>
    <col min="5077" max="5077" customWidth="1" width="8"/>
    <col min="5078" max="5078" customWidth="1" width="8"/>
    <col min="5079" max="5079" customWidth="1" width="8"/>
    <col min="5080" max="5080" customWidth="1" width="8"/>
    <col min="5081" max="5081" customWidth="1" width="8"/>
    <col min="5082" max="5082" customWidth="1" width="8"/>
    <col min="5083" max="5083" customWidth="1" width="8"/>
    <col min="5084" max="5084" customWidth="1" width="8"/>
    <col min="5085" max="5085" customWidth="1" width="8"/>
    <col min="5086" max="5086" customWidth="1" width="8"/>
    <col min="5087" max="5087" customWidth="1" width="8"/>
    <col min="5088" max="5088" customWidth="1" width="8"/>
    <col min="5089" max="5089" customWidth="1" width="8"/>
    <col min="5090" max="5090" customWidth="1" width="8"/>
    <col min="5091" max="5091" customWidth="1" width="8"/>
    <col min="5092" max="5092" customWidth="1" width="8"/>
    <col min="5093" max="5093" customWidth="1" width="8"/>
    <col min="5094" max="5094" customWidth="1" width="8"/>
    <col min="5095" max="5095" customWidth="1" width="8"/>
    <col min="5096" max="5096" customWidth="1" width="8"/>
    <col min="5097" max="5097" customWidth="1" width="8"/>
    <col min="5098" max="5098" customWidth="1" width="8"/>
    <col min="5099" max="5099" customWidth="1" width="8"/>
    <col min="5100" max="5100" customWidth="1" width="8"/>
    <col min="5101" max="5101" customWidth="1" width="8"/>
    <col min="5102" max="5102" customWidth="1" width="8"/>
    <col min="5103" max="5103" customWidth="1" width="8"/>
    <col min="5104" max="5104" customWidth="1" width="8"/>
    <col min="5105" max="5105" customWidth="1" width="8"/>
    <col min="5106" max="5106" customWidth="1" width="8"/>
    <col min="5107" max="5107" customWidth="1" width="8"/>
    <col min="5108" max="5108" customWidth="1" width="8"/>
    <col min="5109" max="5109" customWidth="1" width="8"/>
    <col min="5110" max="5110" customWidth="1" width="8"/>
    <col min="5111" max="5111" customWidth="1" width="8"/>
    <col min="5112" max="5112" customWidth="1" width="8"/>
    <col min="5113" max="5113" customWidth="1" width="8"/>
    <col min="5114" max="5114" customWidth="1" width="8"/>
    <col min="5115" max="5115" customWidth="1" width="8"/>
    <col min="5116" max="5116" customWidth="1" width="8"/>
    <col min="5117" max="5117" customWidth="1" width="8"/>
    <col min="5118" max="5118" customWidth="1" width="8"/>
    <col min="5119" max="5119" customWidth="1" width="8"/>
    <col min="5120" max="5120" customWidth="1" width="8"/>
    <col min="5121" max="5121" customWidth="1" width="8"/>
    <col min="5122" max="5122" customWidth="1" width="8"/>
    <col min="5123" max="5123" customWidth="1" width="8"/>
    <col min="5124" max="5124" customWidth="1" width="8"/>
    <col min="5125" max="5125" customWidth="1" width="8"/>
    <col min="5126" max="5126" customWidth="1" width="8"/>
    <col min="5127" max="5127" customWidth="1" width="8"/>
    <col min="5128" max="5128" customWidth="1" width="8"/>
    <col min="5129" max="5129" customWidth="1" width="8"/>
    <col min="5130" max="5130" customWidth="1" width="8"/>
    <col min="5131" max="5131" customWidth="1" width="8"/>
    <col min="5132" max="5132" customWidth="1" width="8"/>
    <col min="5133" max="5133" customWidth="1" width="8"/>
    <col min="5134" max="5134" customWidth="1" width="8"/>
    <col min="5135" max="5135" customWidth="1" width="8"/>
    <col min="5136" max="5136" customWidth="1" width="8"/>
    <col min="5137" max="5137" customWidth="1" width="8"/>
    <col min="5138" max="5138" customWidth="1" width="8"/>
    <col min="5139" max="5139" customWidth="1" width="8"/>
    <col min="5140" max="5140" customWidth="1" width="8"/>
    <col min="5141" max="5141" customWidth="1" width="8"/>
    <col min="5142" max="5142" customWidth="1" width="8"/>
    <col min="5143" max="5143" customWidth="1" width="8"/>
    <col min="5144" max="5144" customWidth="1" width="8"/>
    <col min="5145" max="5145" customWidth="1" width="8"/>
    <col min="5146" max="5146" customWidth="1" width="8"/>
    <col min="5147" max="5147" customWidth="1" width="8"/>
    <col min="5148" max="5148" customWidth="1" width="8"/>
    <col min="5149" max="5149" customWidth="1" width="8"/>
    <col min="5150" max="5150" customWidth="1" width="8"/>
    <col min="5151" max="5151" customWidth="1" width="8"/>
    <col min="5152" max="5152" customWidth="1" width="8"/>
    <col min="5153" max="5153" customWidth="1" width="8"/>
    <col min="5154" max="5154" customWidth="1" width="8"/>
    <col min="5155" max="5155" customWidth="1" width="8"/>
    <col min="5156" max="5156" customWidth="1" width="8"/>
    <col min="5157" max="5157" customWidth="1" width="8"/>
    <col min="5158" max="5158" customWidth="1" width="8"/>
    <col min="5159" max="5159" customWidth="1" width="8"/>
    <col min="5160" max="5160" customWidth="1" width="8"/>
    <col min="5161" max="5161" customWidth="1" width="8"/>
    <col min="5162" max="5162" customWidth="1" width="8"/>
    <col min="5163" max="5163" customWidth="1" width="8"/>
    <col min="5164" max="5164" customWidth="1" width="8"/>
    <col min="5165" max="5165" customWidth="1" width="8"/>
    <col min="5166" max="5166" customWidth="1" width="8"/>
    <col min="5167" max="5167" customWidth="1" width="8"/>
    <col min="5168" max="5168" customWidth="1" width="8"/>
    <col min="5169" max="5169" customWidth="1" width="8"/>
    <col min="5170" max="5170" customWidth="1" width="8"/>
    <col min="5171" max="5171" customWidth="1" width="8"/>
    <col min="5172" max="5172" customWidth="1" width="8"/>
    <col min="5173" max="5173" customWidth="1" width="8"/>
    <col min="5174" max="5174" customWidth="1" width="8"/>
    <col min="5175" max="5175" customWidth="1" width="8"/>
    <col min="5176" max="5176" customWidth="1" width="8"/>
    <col min="5177" max="5177" customWidth="1" width="8"/>
    <col min="5178" max="5178" customWidth="1" width="8"/>
    <col min="5179" max="5179" customWidth="1" width="8"/>
    <col min="5180" max="5180" customWidth="1" width="8"/>
    <col min="5181" max="5181" customWidth="1" width="8"/>
    <col min="5182" max="5182" customWidth="1" width="8"/>
    <col min="5183" max="5183" customWidth="1" width="8"/>
    <col min="5184" max="5184" customWidth="1" width="8"/>
    <col min="5185" max="5185" customWidth="1" width="8"/>
    <col min="5186" max="5186" customWidth="1" width="8"/>
    <col min="5187" max="5187" customWidth="1" width="8"/>
    <col min="5188" max="5188" customWidth="1" width="8"/>
    <col min="5189" max="5189" customWidth="1" width="8"/>
    <col min="5190" max="5190" customWidth="1" width="8"/>
    <col min="5191" max="5191" customWidth="1" width="8"/>
    <col min="5192" max="5192" customWidth="1" width="8"/>
    <col min="5193" max="5193" customWidth="1" width="8"/>
    <col min="5194" max="5194" customWidth="1" width="8"/>
    <col min="5195" max="5195" customWidth="1" width="8"/>
    <col min="5196" max="5196" customWidth="1" width="8"/>
    <col min="5197" max="5197" customWidth="1" width="8"/>
    <col min="5198" max="5198" customWidth="1" width="8"/>
    <col min="5199" max="5199" customWidth="1" width="8"/>
    <col min="5200" max="5200" customWidth="1" width="8"/>
    <col min="5201" max="5201" customWidth="1" width="8"/>
    <col min="5202" max="5202" customWidth="1" width="8"/>
    <col min="5203" max="5203" customWidth="1" width="8"/>
    <col min="5204" max="5204" customWidth="1" width="8"/>
    <col min="5205" max="5205" customWidth="1" width="8"/>
    <col min="5206" max="5206" customWidth="1" width="8"/>
    <col min="5207" max="5207" customWidth="1" width="8"/>
    <col min="5208" max="5208" customWidth="1" width="8"/>
    <col min="5209" max="5209" customWidth="1" width="8"/>
    <col min="5210" max="5210" customWidth="1" width="8"/>
    <col min="5211" max="5211" customWidth="1" width="8"/>
    <col min="5212" max="5212" customWidth="1" width="8"/>
    <col min="5213" max="5213" customWidth="1" width="8"/>
    <col min="5214" max="5214" customWidth="1" width="8"/>
    <col min="5215" max="5215" customWidth="1" width="8"/>
    <col min="5216" max="5216" customWidth="1" width="8"/>
    <col min="5217" max="5217" customWidth="1" width="8"/>
    <col min="5218" max="5218" customWidth="1" width="8"/>
    <col min="5219" max="5219" customWidth="1" width="8"/>
    <col min="5220" max="5220" customWidth="1" width="8"/>
    <col min="5221" max="5221" customWidth="1" width="8"/>
    <col min="5222" max="5222" customWidth="1" width="8"/>
    <col min="5223" max="5223" customWidth="1" width="8"/>
    <col min="5224" max="5224" customWidth="1" width="8"/>
    <col min="5225" max="5225" customWidth="1" width="8"/>
    <col min="5226" max="5226" customWidth="1" width="8"/>
    <col min="5227" max="5227" customWidth="1" width="8"/>
    <col min="5228" max="5228" customWidth="1" width="8"/>
    <col min="5229" max="5229" customWidth="1" width="8"/>
    <col min="5230" max="5230" customWidth="1" width="8"/>
    <col min="5231" max="5231" customWidth="1" width="8"/>
    <col min="5232" max="5232" customWidth="1" width="8"/>
    <col min="5233" max="5233" customWidth="1" width="8"/>
    <col min="5234" max="5234" customWidth="1" width="8"/>
    <col min="5235" max="5235" customWidth="1" width="8"/>
    <col min="5236" max="5236" customWidth="1" width="8"/>
    <col min="5237" max="5237" customWidth="1" width="8"/>
    <col min="5238" max="5238" customWidth="1" width="8"/>
    <col min="5239" max="5239" customWidth="1" width="8"/>
    <col min="5240" max="5240" customWidth="1" width="8"/>
    <col min="5241" max="5241" customWidth="1" width="8"/>
    <col min="5242" max="5242" customWidth="1" width="8"/>
    <col min="5243" max="5243" customWidth="1" width="8"/>
    <col min="5244" max="5244" customWidth="1" width="8"/>
    <col min="5245" max="5245" customWidth="1" width="8"/>
    <col min="5246" max="5246" customWidth="1" width="8"/>
    <col min="5247" max="5247" customWidth="1" width="8"/>
    <col min="5248" max="5248" customWidth="1" width="8"/>
    <col min="5249" max="5249" customWidth="1" width="8"/>
    <col min="5250" max="5250" customWidth="1" width="8"/>
    <col min="5251" max="5251" customWidth="1" width="8"/>
    <col min="5252" max="5252" customWidth="1" width="8"/>
    <col min="5253" max="5253" customWidth="1" width="8"/>
    <col min="5254" max="5254" customWidth="1" width="8"/>
    <col min="5255" max="5255" customWidth="1" width="8"/>
    <col min="5256" max="5256" customWidth="1" width="8"/>
    <col min="5257" max="5257" customWidth="1" width="8"/>
    <col min="5258" max="5258" customWidth="1" width="8"/>
    <col min="5259" max="5259" customWidth="1" width="8"/>
    <col min="5260" max="5260" customWidth="1" width="8"/>
    <col min="5261" max="5261" customWidth="1" width="8"/>
    <col min="5262" max="5262" customWidth="1" width="8"/>
    <col min="5263" max="5263" customWidth="1" width="8"/>
    <col min="5264" max="5264" customWidth="1" width="8"/>
    <col min="5265" max="5265" customWidth="1" width="8"/>
    <col min="5266" max="5266" customWidth="1" width="8"/>
    <col min="5267" max="5267" customWidth="1" width="8"/>
    <col min="5268" max="5268" customWidth="1" width="8"/>
    <col min="5269" max="5269" customWidth="1" width="8"/>
    <col min="5270" max="5270" customWidth="1" width="8"/>
    <col min="5271" max="5271" customWidth="1" width="8"/>
    <col min="5272" max="5272" customWidth="1" width="8"/>
    <col min="5273" max="5273" customWidth="1" width="8"/>
    <col min="5274" max="5274" customWidth="1" width="8"/>
    <col min="5275" max="5275" customWidth="1" width="8"/>
    <col min="5276" max="5276" customWidth="1" width="8"/>
    <col min="5277" max="5277" customWidth="1" width="8"/>
    <col min="5278" max="5278" customWidth="1" width="8"/>
    <col min="5279" max="5279" customWidth="1" width="8"/>
    <col min="5280" max="5280" customWidth="1" width="8"/>
    <col min="5281" max="5281" customWidth="1" width="8"/>
    <col min="5282" max="5282" customWidth="1" width="8"/>
    <col min="5283" max="5283" customWidth="1" width="8"/>
    <col min="5284" max="5284" customWidth="1" width="8"/>
    <col min="5285" max="5285" customWidth="1" width="8"/>
    <col min="5286" max="5286" customWidth="1" width="8"/>
    <col min="5287" max="5287" customWidth="1" width="8"/>
    <col min="5288" max="5288" customWidth="1" width="8"/>
    <col min="5289" max="5289" customWidth="1" width="8"/>
    <col min="5290" max="5290" customWidth="1" width="8"/>
    <col min="5291" max="5291" customWidth="1" width="8"/>
    <col min="5292" max="5292" customWidth="1" width="8"/>
    <col min="5293" max="5293" customWidth="1" width="8"/>
    <col min="5294" max="5294" customWidth="1" width="8"/>
    <col min="5295" max="5295" customWidth="1" width="8"/>
    <col min="5296" max="5296" customWidth="1" width="8"/>
    <col min="5297" max="5297" customWidth="1" width="8"/>
    <col min="5298" max="5298" customWidth="1" width="8"/>
    <col min="5299" max="5299" customWidth="1" width="8"/>
    <col min="5300" max="5300" customWidth="1" width="8"/>
    <col min="5301" max="5301" customWidth="1" width="8"/>
    <col min="5302" max="5302" customWidth="1" width="8"/>
    <col min="5303" max="5303" customWidth="1" width="8"/>
    <col min="5304" max="5304" customWidth="1" width="8"/>
    <col min="5305" max="5305" customWidth="1" width="8"/>
    <col min="5306" max="5306" customWidth="1" width="8"/>
    <col min="5307" max="5307" customWidth="1" width="8"/>
    <col min="5308" max="5308" customWidth="1" width="8"/>
    <col min="5309" max="5309" customWidth="1" width="8"/>
    <col min="5310" max="5310" customWidth="1" width="8"/>
    <col min="5311" max="5311" customWidth="1" width="8"/>
    <col min="5312" max="5312" customWidth="1" width="8"/>
    <col min="5313" max="5313" customWidth="1" width="8"/>
    <col min="5314" max="5314" customWidth="1" width="8"/>
    <col min="5315" max="5315" customWidth="1" width="8"/>
    <col min="5316" max="5316" customWidth="1" width="8"/>
    <col min="5317" max="5317" customWidth="1" width="8"/>
    <col min="5318" max="5318" customWidth="1" width="8"/>
    <col min="5319" max="5319" customWidth="1" width="8"/>
    <col min="5320" max="5320" customWidth="1" width="8"/>
    <col min="5321" max="5321" customWidth="1" width="8"/>
    <col min="5322" max="5322" customWidth="1" width="8"/>
    <col min="5323" max="5323" customWidth="1" width="8"/>
    <col min="5324" max="5324" customWidth="1" width="8"/>
    <col min="5325" max="5325" customWidth="1" width="8"/>
    <col min="5326" max="5326" customWidth="1" width="8"/>
    <col min="5327" max="5327" customWidth="1" width="8"/>
    <col min="5328" max="5328" customWidth="1" width="8"/>
    <col min="5329" max="5329" customWidth="1" width="8"/>
    <col min="5330" max="5330" customWidth="1" width="8"/>
    <col min="5331" max="5331" customWidth="1" width="8"/>
    <col min="5332" max="5332" customWidth="1" width="8"/>
    <col min="5333" max="5333" customWidth="1" width="8"/>
    <col min="5334" max="5334" customWidth="1" width="8"/>
    <col min="5335" max="5335" customWidth="1" width="8"/>
    <col min="5336" max="5336" customWidth="1" width="8"/>
    <col min="5337" max="5337" customWidth="1" width="8"/>
    <col min="5338" max="5338" customWidth="1" width="8"/>
    <col min="5339" max="5339" customWidth="1" width="8"/>
    <col min="5340" max="5340" customWidth="1" width="8"/>
    <col min="5341" max="5341" customWidth="1" width="8"/>
    <col min="5342" max="5342" customWidth="1" width="8"/>
    <col min="5343" max="5343" customWidth="1" width="8"/>
    <col min="5344" max="5344" customWidth="1" width="8"/>
    <col min="5345" max="5345" customWidth="1" width="8"/>
    <col min="5346" max="5346" customWidth="1" width="8"/>
    <col min="5347" max="5347" customWidth="1" width="8"/>
    <col min="5348" max="5348" customWidth="1" width="8"/>
    <col min="5349" max="5349" customWidth="1" width="8"/>
    <col min="5350" max="5350" customWidth="1" width="8"/>
    <col min="5351" max="5351" customWidth="1" width="8"/>
    <col min="5352" max="5352" customWidth="1" width="8"/>
    <col min="5353" max="5353" customWidth="1" width="8"/>
    <col min="5354" max="5354" customWidth="1" width="8"/>
    <col min="5355" max="5355" customWidth="1" width="8"/>
    <col min="5356" max="5356" customWidth="1" width="8"/>
    <col min="5357" max="5357" customWidth="1" width="8"/>
    <col min="5358" max="5358" customWidth="1" width="8"/>
    <col min="5359" max="5359" customWidth="1" width="8"/>
    <col min="5360" max="5360" customWidth="1" width="8"/>
    <col min="5361" max="5361" customWidth="1" width="8"/>
    <col min="5362" max="5362" customWidth="1" width="8"/>
    <col min="5363" max="5363" customWidth="1" width="8"/>
    <col min="5364" max="5364" customWidth="1" width="8"/>
    <col min="5365" max="5365" customWidth="1" width="8"/>
    <col min="5366" max="5366" customWidth="1" width="8"/>
    <col min="5367" max="5367" customWidth="1" width="8"/>
    <col min="5368" max="5368" customWidth="1" width="8"/>
    <col min="5369" max="5369" customWidth="1" width="8"/>
    <col min="5370" max="5370" customWidth="1" width="8"/>
    <col min="5371" max="5371" customWidth="1" width="8"/>
    <col min="5372" max="5372" customWidth="1" width="8"/>
    <col min="5373" max="5373" customWidth="1" width="8"/>
    <col min="5374" max="5374" customWidth="1" width="8"/>
    <col min="5375" max="5375" customWidth="1" width="8"/>
    <col min="5376" max="5376" customWidth="1" width="8"/>
    <col min="5377" max="5377" customWidth="1" width="8"/>
    <col min="5378" max="5378" customWidth="1" width="8"/>
    <col min="5379" max="5379" customWidth="1" width="8"/>
    <col min="5380" max="5380" customWidth="1" width="8"/>
    <col min="5381" max="5381" customWidth="1" width="8"/>
    <col min="5382" max="5382" customWidth="1" width="8"/>
    <col min="5383" max="5383" customWidth="1" width="8"/>
    <col min="5384" max="5384" customWidth="1" width="8"/>
    <col min="5385" max="5385" customWidth="1" width="8"/>
    <col min="5386" max="5386" customWidth="1" width="8"/>
    <col min="5387" max="5387" customWidth="1" width="8"/>
    <col min="5388" max="5388" customWidth="1" width="8"/>
    <col min="5389" max="5389" customWidth="1" width="8"/>
    <col min="5390" max="5390" customWidth="1" width="8"/>
    <col min="5391" max="5391" customWidth="1" width="8"/>
    <col min="5392" max="5392" customWidth="1" width="8"/>
    <col min="5393" max="5393" customWidth="1" width="8"/>
    <col min="5394" max="5394" customWidth="1" width="8"/>
    <col min="5395" max="5395" customWidth="1" width="8"/>
    <col min="5396" max="5396" customWidth="1" width="8"/>
    <col min="5397" max="5397" customWidth="1" width="8"/>
    <col min="5398" max="5398" customWidth="1" width="8"/>
    <col min="5399" max="5399" customWidth="1" width="8"/>
    <col min="5400" max="5400" customWidth="1" width="8"/>
    <col min="5401" max="5401" customWidth="1" width="8"/>
    <col min="5402" max="5402" customWidth="1" width="8"/>
    <col min="5403" max="5403" customWidth="1" width="8"/>
    <col min="5404" max="5404" customWidth="1" width="8"/>
    <col min="5405" max="5405" customWidth="1" width="8"/>
    <col min="5406" max="5406" customWidth="1" width="8"/>
    <col min="5407" max="5407" customWidth="1" width="8"/>
    <col min="5408" max="5408" customWidth="1" width="8"/>
    <col min="5409" max="5409" customWidth="1" width="8"/>
    <col min="5410" max="5410" customWidth="1" width="8"/>
    <col min="5411" max="5411" customWidth="1" width="8"/>
    <col min="5412" max="5412" customWidth="1" width="8"/>
    <col min="5413" max="5413" customWidth="1" width="8"/>
    <col min="5414" max="5414" customWidth="1" width="8"/>
    <col min="5415" max="5415" customWidth="1" width="8"/>
    <col min="5416" max="5416" customWidth="1" width="8"/>
    <col min="5417" max="5417" customWidth="1" width="8"/>
    <col min="5418" max="5418" customWidth="1" width="8"/>
    <col min="5419" max="5419" customWidth="1" width="8"/>
    <col min="5420" max="5420" customWidth="1" width="8"/>
    <col min="5421" max="5421" customWidth="1" width="8"/>
    <col min="5422" max="5422" customWidth="1" width="8"/>
    <col min="5423" max="5423" customWidth="1" width="8"/>
    <col min="5424" max="5424" customWidth="1" width="8"/>
    <col min="5425" max="5425" customWidth="1" width="8"/>
    <col min="5426" max="5426" customWidth="1" width="8"/>
    <col min="5427" max="5427" customWidth="1" width="8"/>
    <col min="5428" max="5428" customWidth="1" width="8"/>
    <col min="5429" max="5429" customWidth="1" width="8"/>
    <col min="5430" max="5430" customWidth="1" width="8"/>
    <col min="5431" max="5431" customWidth="1" width="8"/>
    <col min="5432" max="5432" customWidth="1" width="8"/>
    <col min="5433" max="5433" customWidth="1" width="8"/>
    <col min="5434" max="5434" customWidth="1" width="8"/>
    <col min="5435" max="5435" customWidth="1" width="8"/>
    <col min="5436" max="5436" customWidth="1" width="8"/>
    <col min="5437" max="5437" customWidth="1" width="8"/>
    <col min="5438" max="5438" customWidth="1" width="8"/>
    <col min="5439" max="5439" customWidth="1" width="8"/>
    <col min="5440" max="5440" customWidth="1" width="8"/>
    <col min="5441" max="5441" customWidth="1" width="8"/>
    <col min="5442" max="5442" customWidth="1" width="8"/>
    <col min="5443" max="5443" customWidth="1" width="8"/>
    <col min="5444" max="5444" customWidth="1" width="8"/>
    <col min="5445" max="5445" customWidth="1" width="8"/>
    <col min="5446" max="5446" customWidth="1" width="8"/>
    <col min="5447" max="5447" customWidth="1" width="8"/>
    <col min="5448" max="5448" customWidth="1" width="8"/>
    <col min="5449" max="5449" customWidth="1" width="8"/>
    <col min="5450" max="5450" customWidth="1" width="8"/>
    <col min="5451" max="5451" customWidth="1" width="8"/>
    <col min="5452" max="5452" customWidth="1" width="8"/>
    <col min="5453" max="5453" customWidth="1" width="8"/>
    <col min="5454" max="5454" customWidth="1" width="8"/>
    <col min="5455" max="5455" customWidth="1" width="8"/>
    <col min="5456" max="5456" customWidth="1" width="8"/>
    <col min="5457" max="5457" customWidth="1" width="8"/>
    <col min="5458" max="5458" customWidth="1" width="8"/>
    <col min="5459" max="5459" customWidth="1" width="8"/>
    <col min="5460" max="5460" customWidth="1" width="8"/>
    <col min="5461" max="5461" customWidth="1" width="8"/>
    <col min="5462" max="5462" customWidth="1" width="8"/>
    <col min="5463" max="5463" customWidth="1" width="8"/>
    <col min="5464" max="5464" customWidth="1" width="8"/>
    <col min="5465" max="5465" customWidth="1" width="8"/>
    <col min="5466" max="5466" customWidth="1" width="8"/>
    <col min="5467" max="5467" customWidth="1" width="8"/>
    <col min="5468" max="5468" customWidth="1" width="8"/>
    <col min="5469" max="5469" customWidth="1" width="8"/>
    <col min="5470" max="5470" customWidth="1" width="8"/>
    <col min="5471" max="5471" customWidth="1" width="8"/>
    <col min="5472" max="5472" customWidth="1" width="8"/>
    <col min="5473" max="5473" customWidth="1" width="8"/>
    <col min="5474" max="5474" customWidth="1" width="8"/>
    <col min="5475" max="5475" customWidth="1" width="8"/>
    <col min="5476" max="5476" customWidth="1" width="8"/>
    <col min="5477" max="5477" customWidth="1" width="8"/>
    <col min="5478" max="5478" customWidth="1" width="8"/>
    <col min="5479" max="5479" customWidth="1" width="8"/>
    <col min="5480" max="5480" customWidth="1" width="8"/>
    <col min="5481" max="5481" customWidth="1" width="8"/>
    <col min="5482" max="5482" customWidth="1" width="8"/>
    <col min="5483" max="5483" customWidth="1" width="8"/>
    <col min="5484" max="5484" customWidth="1" width="8"/>
    <col min="5485" max="5485" customWidth="1" width="8"/>
    <col min="5486" max="5486" customWidth="1" width="8"/>
    <col min="5487" max="5487" customWidth="1" width="8"/>
    <col min="5488" max="5488" customWidth="1" width="8"/>
    <col min="5489" max="5489" customWidth="1" width="8"/>
    <col min="5490" max="5490" customWidth="1" width="8"/>
    <col min="5491" max="5491" customWidth="1" width="8"/>
    <col min="5492" max="5492" customWidth="1" width="8"/>
    <col min="5493" max="5493" customWidth="1" width="8"/>
    <col min="5494" max="5494" customWidth="1" width="8"/>
    <col min="5495" max="5495" customWidth="1" width="8"/>
    <col min="5496" max="5496" customWidth="1" width="8"/>
    <col min="5497" max="5497" customWidth="1" width="8"/>
    <col min="5498" max="5498" customWidth="1" width="8"/>
    <col min="5499" max="5499" customWidth="1" width="8"/>
    <col min="5500" max="5500" customWidth="1" width="8"/>
    <col min="5501" max="5501" customWidth="1" width="8"/>
    <col min="5502" max="5502" customWidth="1" width="8"/>
    <col min="5503" max="5503" customWidth="1" width="8"/>
    <col min="5504" max="5504" customWidth="1" width="8"/>
    <col min="5505" max="5505" customWidth="1" width="8"/>
    <col min="5506" max="5506" customWidth="1" width="8"/>
    <col min="5507" max="5507" customWidth="1" width="8"/>
    <col min="5508" max="5508" customWidth="1" width="8"/>
    <col min="5509" max="5509" customWidth="1" width="8"/>
    <col min="5510" max="5510" customWidth="1" width="8"/>
    <col min="5511" max="5511" customWidth="1" width="8"/>
    <col min="5512" max="5512" customWidth="1" width="8"/>
    <col min="5513" max="5513" customWidth="1" width="8"/>
    <col min="5514" max="5514" customWidth="1" width="8"/>
    <col min="5515" max="5515" customWidth="1" width="8"/>
    <col min="5516" max="5516" customWidth="1" width="8"/>
    <col min="5517" max="5517" customWidth="1" width="8"/>
    <col min="5518" max="5518" customWidth="1" width="8"/>
    <col min="5519" max="5519" customWidth="1" width="8"/>
    <col min="5520" max="5520" customWidth="1" width="8"/>
    <col min="5521" max="5521" customWidth="1" width="8"/>
    <col min="5522" max="5522" customWidth="1" width="8"/>
    <col min="5523" max="5523" customWidth="1" width="8"/>
    <col min="5524" max="5524" customWidth="1" width="8"/>
    <col min="5525" max="5525" customWidth="1" width="8"/>
    <col min="5526" max="5526" customWidth="1" width="8"/>
    <col min="5527" max="5527" customWidth="1" width="8"/>
    <col min="5528" max="5528" customWidth="1" width="8"/>
    <col min="5529" max="5529" customWidth="1" width="8"/>
    <col min="5530" max="5530" customWidth="1" width="8"/>
    <col min="5531" max="5531" customWidth="1" width="8"/>
    <col min="5532" max="5532" customWidth="1" width="8"/>
    <col min="5533" max="5533" customWidth="1" width="8"/>
    <col min="5534" max="5534" customWidth="1" width="8"/>
    <col min="5535" max="5535" customWidth="1" width="8"/>
    <col min="5536" max="5536" customWidth="1" width="8"/>
    <col min="5537" max="5537" customWidth="1" width="8"/>
    <col min="5538" max="5538" customWidth="1" width="8"/>
    <col min="5539" max="5539" customWidth="1" width="8"/>
    <col min="5540" max="5540" customWidth="1" width="8"/>
    <col min="5541" max="5541" customWidth="1" width="8"/>
    <col min="5542" max="5542" customWidth="1" width="8"/>
    <col min="5543" max="5543" customWidth="1" width="8"/>
    <col min="5544" max="5544" customWidth="1" width="8"/>
    <col min="5545" max="5545" customWidth="1" width="8"/>
    <col min="5546" max="5546" customWidth="1" width="8"/>
    <col min="5547" max="5547" customWidth="1" width="8"/>
    <col min="5548" max="5548" customWidth="1" width="8"/>
    <col min="5549" max="5549" customWidth="1" width="8"/>
    <col min="5550" max="5550" customWidth="1" width="8"/>
    <col min="5551" max="5551" customWidth="1" width="8"/>
    <col min="5552" max="5552" customWidth="1" width="8"/>
    <col min="5553" max="5553" customWidth="1" width="8"/>
    <col min="5554" max="5554" customWidth="1" width="8"/>
    <col min="5555" max="5555" customWidth="1" width="8"/>
    <col min="5556" max="5556" customWidth="1" width="8"/>
    <col min="5557" max="5557" customWidth="1" width="8"/>
    <col min="5558" max="5558" customWidth="1" width="8"/>
    <col min="5559" max="5559" customWidth="1" width="8"/>
    <col min="5560" max="5560" customWidth="1" width="8"/>
    <col min="5561" max="5561" customWidth="1" width="8"/>
    <col min="5562" max="5562" customWidth="1" width="8"/>
    <col min="5563" max="5563" customWidth="1" width="8"/>
    <col min="5564" max="5564" customWidth="1" width="8"/>
    <col min="5565" max="5565" customWidth="1" width="8"/>
    <col min="5566" max="5566" customWidth="1" width="8"/>
    <col min="5567" max="5567" customWidth="1" width="8"/>
    <col min="5568" max="5568" customWidth="1" width="8"/>
    <col min="5569" max="5569" customWidth="1" width="8"/>
    <col min="5570" max="5570" customWidth="1" width="8"/>
    <col min="5571" max="5571" customWidth="1" width="8"/>
    <col min="5572" max="5572" customWidth="1" width="8"/>
    <col min="5573" max="5573" customWidth="1" width="8"/>
    <col min="5574" max="5574" customWidth="1" width="8"/>
    <col min="5575" max="5575" customWidth="1" width="8"/>
    <col min="5576" max="5576" customWidth="1" width="8"/>
    <col min="5577" max="5577" customWidth="1" width="8"/>
    <col min="5578" max="5578" customWidth="1" width="8"/>
    <col min="5579" max="5579" customWidth="1" width="8"/>
    <col min="5580" max="5580" customWidth="1" width="8"/>
    <col min="5581" max="5581" customWidth="1" width="8"/>
    <col min="5582" max="5582" customWidth="1" width="8"/>
    <col min="5583" max="5583" customWidth="1" width="8"/>
    <col min="5584" max="5584" customWidth="1" width="8"/>
    <col min="5585" max="5585" customWidth="1" width="8"/>
    <col min="5586" max="5586" customWidth="1" width="8"/>
    <col min="5587" max="5587" customWidth="1" width="8"/>
    <col min="5588" max="5588" customWidth="1" width="8"/>
    <col min="5589" max="5589" customWidth="1" width="8"/>
    <col min="5590" max="5590" customWidth="1" width="8"/>
    <col min="5591" max="5591" customWidth="1" width="8"/>
    <col min="5592" max="5592" customWidth="1" width="8"/>
    <col min="5593" max="5593" customWidth="1" width="8"/>
    <col min="5594" max="5594" customWidth="1" width="8"/>
    <col min="5595" max="5595" customWidth="1" width="8"/>
    <col min="5596" max="5596" customWidth="1" width="8"/>
    <col min="5597" max="5597" customWidth="1" width="8"/>
    <col min="5598" max="5598" customWidth="1" width="8"/>
    <col min="5599" max="5599" customWidth="1" width="8"/>
    <col min="5600" max="5600" customWidth="1" width="8"/>
    <col min="5601" max="5601" customWidth="1" width="8"/>
    <col min="5602" max="5602" customWidth="1" width="8"/>
    <col min="5603" max="5603" customWidth="1" width="8"/>
    <col min="5604" max="5604" customWidth="1" width="8"/>
    <col min="5605" max="5605" customWidth="1" width="8"/>
    <col min="5606" max="5606" customWidth="1" width="8"/>
    <col min="5607" max="5607" customWidth="1" width="8"/>
    <col min="5608" max="5608" customWidth="1" width="8"/>
    <col min="5609" max="5609" customWidth="1" width="8"/>
    <col min="5610" max="5610" customWidth="1" width="8"/>
    <col min="5611" max="5611" customWidth="1" width="8"/>
    <col min="5612" max="5612" customWidth="1" width="8"/>
    <col min="5613" max="5613" customWidth="1" width="8"/>
    <col min="5614" max="5614" customWidth="1" width="8"/>
    <col min="5615" max="5615" customWidth="1" width="8"/>
    <col min="5616" max="5616" customWidth="1" width="8"/>
    <col min="5617" max="5617" customWidth="1" width="8"/>
    <col min="5618" max="5618" customWidth="1" width="8"/>
    <col min="5619" max="5619" customWidth="1" width="8"/>
    <col min="5620" max="5620" customWidth="1" width="8"/>
    <col min="5621" max="5621" customWidth="1" width="8"/>
    <col min="5622" max="5622" customWidth="1" width="8"/>
    <col min="5623" max="5623" customWidth="1" width="8"/>
    <col min="5624" max="5624" customWidth="1" width="8"/>
    <col min="5625" max="5625" customWidth="1" width="8"/>
    <col min="5626" max="5626" customWidth="1" width="8"/>
    <col min="5627" max="5627" customWidth="1" width="8"/>
    <col min="5628" max="5628" customWidth="1" width="8"/>
    <col min="5629" max="5629" customWidth="1" width="8"/>
    <col min="5630" max="5630" customWidth="1" width="8"/>
    <col min="5631" max="5631" customWidth="1" width="8"/>
    <col min="5632" max="5632" customWidth="1" width="8"/>
    <col min="5633" max="5633" customWidth="1" width="8"/>
    <col min="5634" max="5634" customWidth="1" width="8"/>
    <col min="5635" max="5635" customWidth="1" width="8"/>
    <col min="5636" max="5636" customWidth="1" width="8"/>
    <col min="5637" max="5637" customWidth="1" width="8"/>
    <col min="5638" max="5638" customWidth="1" width="8"/>
    <col min="5639" max="5639" customWidth="1" width="8"/>
    <col min="5640" max="5640" customWidth="1" width="8"/>
    <col min="5641" max="5641" customWidth="1" width="8"/>
    <col min="5642" max="5642" customWidth="1" width="8"/>
    <col min="5643" max="5643" customWidth="1" width="8"/>
    <col min="5644" max="5644" customWidth="1" width="8"/>
    <col min="5645" max="5645" customWidth="1" width="8"/>
    <col min="5646" max="5646" customWidth="1" width="8"/>
    <col min="5647" max="5647" customWidth="1" width="8"/>
    <col min="5648" max="5648" customWidth="1" width="8"/>
    <col min="5649" max="5649" customWidth="1" width="8"/>
    <col min="5650" max="5650" customWidth="1" width="8"/>
    <col min="5651" max="5651" customWidth="1" width="8"/>
    <col min="5652" max="5652" customWidth="1" width="8"/>
    <col min="5653" max="5653" customWidth="1" width="8"/>
    <col min="5654" max="5654" customWidth="1" width="8"/>
    <col min="5655" max="5655" customWidth="1" width="8"/>
    <col min="5656" max="5656" customWidth="1" width="8"/>
    <col min="5657" max="5657" customWidth="1" width="8"/>
    <col min="5658" max="5658" customWidth="1" width="8"/>
    <col min="5659" max="5659" customWidth="1" width="8"/>
    <col min="5660" max="5660" customWidth="1" width="8"/>
    <col min="5661" max="5661" customWidth="1" width="8"/>
    <col min="5662" max="5662" customWidth="1" width="8"/>
    <col min="5663" max="5663" customWidth="1" width="8"/>
    <col min="5664" max="5664" customWidth="1" width="8"/>
    <col min="5665" max="5665" customWidth="1" width="8"/>
    <col min="5666" max="5666" customWidth="1" width="8"/>
    <col min="5667" max="5667" customWidth="1" width="8"/>
    <col min="5668" max="5668" customWidth="1" width="8"/>
    <col min="5669" max="5669" customWidth="1" width="8"/>
    <col min="5670" max="5670" customWidth="1" width="8"/>
    <col min="5671" max="5671" customWidth="1" width="8"/>
    <col min="5672" max="5672" customWidth="1" width="8"/>
    <col min="5673" max="5673" customWidth="1" width="8"/>
    <col min="5674" max="5674" customWidth="1" width="8"/>
    <col min="5675" max="5675" customWidth="1" width="8"/>
    <col min="5676" max="5676" customWidth="1" width="8"/>
    <col min="5677" max="5677" customWidth="1" width="8"/>
    <col min="5678" max="5678" customWidth="1" width="8"/>
    <col min="5679" max="5679" customWidth="1" width="8"/>
    <col min="5680" max="5680" customWidth="1" width="8"/>
    <col min="5681" max="5681" customWidth="1" width="8"/>
    <col min="5682" max="5682" customWidth="1" width="8"/>
    <col min="5683" max="5683" customWidth="1" width="8"/>
    <col min="5684" max="5684" customWidth="1" width="8"/>
    <col min="5685" max="5685" customWidth="1" width="8"/>
    <col min="5686" max="5686" customWidth="1" width="8"/>
    <col min="5687" max="5687" customWidth="1" width="8"/>
    <col min="5688" max="5688" customWidth="1" width="8"/>
    <col min="5689" max="5689" customWidth="1" width="8"/>
    <col min="5690" max="5690" customWidth="1" width="8"/>
    <col min="5691" max="5691" customWidth="1" width="8"/>
    <col min="5692" max="5692" customWidth="1" width="8"/>
    <col min="5693" max="5693" customWidth="1" width="8"/>
    <col min="5694" max="5694" customWidth="1" width="8"/>
    <col min="5695" max="5695" customWidth="1" width="8"/>
    <col min="5696" max="5696" customWidth="1" width="8"/>
    <col min="5697" max="5697" customWidth="1" width="8"/>
    <col min="5698" max="5698" customWidth="1" width="8"/>
    <col min="5699" max="5699" customWidth="1" width="8"/>
    <col min="5700" max="5700" customWidth="1" width="8"/>
    <col min="5701" max="5701" customWidth="1" width="8"/>
    <col min="5702" max="5702" customWidth="1" width="8"/>
    <col min="5703" max="5703" customWidth="1" width="8"/>
    <col min="5704" max="5704" customWidth="1" width="8"/>
    <col min="5705" max="5705" customWidth="1" width="8"/>
    <col min="5706" max="5706" customWidth="1" width="8"/>
    <col min="5707" max="5707" customWidth="1" width="8"/>
    <col min="5708" max="5708" customWidth="1" width="8"/>
    <col min="5709" max="5709" customWidth="1" width="8"/>
    <col min="5710" max="5710" customWidth="1" width="8"/>
    <col min="5711" max="5711" customWidth="1" width="8"/>
    <col min="5712" max="5712" customWidth="1" width="8"/>
    <col min="5713" max="5713" customWidth="1" width="8"/>
    <col min="5714" max="5714" customWidth="1" width="8"/>
    <col min="5715" max="5715" customWidth="1" width="8"/>
    <col min="5716" max="5716" customWidth="1" width="8"/>
    <col min="5717" max="5717" customWidth="1" width="8"/>
    <col min="5718" max="5718" customWidth="1" width="8"/>
    <col min="5719" max="5719" customWidth="1" width="8"/>
    <col min="5720" max="5720" customWidth="1" width="8"/>
    <col min="5721" max="5721" customWidth="1" width="8"/>
    <col min="5722" max="5722" customWidth="1" width="8"/>
    <col min="5723" max="5723" customWidth="1" width="8"/>
    <col min="5724" max="5724" customWidth="1" width="8"/>
    <col min="5725" max="5725" customWidth="1" width="8"/>
    <col min="5726" max="5726" customWidth="1" width="8"/>
    <col min="5727" max="5727" customWidth="1" width="8"/>
    <col min="5728" max="5728" customWidth="1" width="8"/>
    <col min="5729" max="5729" customWidth="1" width="8"/>
    <col min="5730" max="5730" customWidth="1" width="8"/>
    <col min="5731" max="5731" customWidth="1" width="8"/>
    <col min="5732" max="5732" customWidth="1" width="8"/>
    <col min="5733" max="5733" customWidth="1" width="8"/>
    <col min="5734" max="5734" customWidth="1" width="8"/>
    <col min="5735" max="5735" customWidth="1" width="8"/>
    <col min="5736" max="5736" customWidth="1" width="8"/>
    <col min="5737" max="5737" customWidth="1" width="8"/>
    <col min="5738" max="5738" customWidth="1" width="8"/>
    <col min="5739" max="5739" customWidth="1" width="8"/>
    <col min="5740" max="5740" customWidth="1" width="8"/>
    <col min="5741" max="5741" customWidth="1" width="8"/>
    <col min="5742" max="5742" customWidth="1" width="8"/>
    <col min="5743" max="5743" customWidth="1" width="8"/>
    <col min="5744" max="5744" customWidth="1" width="8"/>
    <col min="5745" max="5745" customWidth="1" width="8"/>
    <col min="5746" max="5746" customWidth="1" width="8"/>
    <col min="5747" max="5747" customWidth="1" width="8"/>
    <col min="5748" max="5748" customWidth="1" width="8"/>
    <col min="5749" max="5749" customWidth="1" width="8"/>
    <col min="5750" max="5750" customWidth="1" width="8"/>
    <col min="5751" max="5751" customWidth="1" width="8"/>
    <col min="5752" max="5752" customWidth="1" width="8"/>
    <col min="5753" max="5753" customWidth="1" width="8"/>
    <col min="5754" max="5754" customWidth="1" width="8"/>
    <col min="5755" max="5755" customWidth="1" width="8"/>
    <col min="5756" max="5756" customWidth="1" width="8"/>
    <col min="5757" max="5757" customWidth="1" width="8"/>
    <col min="5758" max="5758" customWidth="1" width="8"/>
    <col min="5759" max="5759" customWidth="1" width="8"/>
    <col min="5760" max="5760" customWidth="1" width="8"/>
    <col min="5761" max="5761" customWidth="1" width="8"/>
    <col min="5762" max="5762" customWidth="1" width="8"/>
    <col min="5763" max="5763" customWidth="1" width="8"/>
    <col min="5764" max="5764" customWidth="1" width="8"/>
    <col min="5765" max="5765" customWidth="1" width="8"/>
    <col min="5766" max="5766" customWidth="1" width="8"/>
    <col min="5767" max="5767" customWidth="1" width="8"/>
    <col min="5768" max="5768" customWidth="1" width="8"/>
    <col min="5769" max="5769" customWidth="1" width="8"/>
    <col min="5770" max="5770" customWidth="1" width="8"/>
    <col min="5771" max="5771" customWidth="1" width="8"/>
    <col min="5772" max="5772" customWidth="1" width="8"/>
    <col min="5773" max="5773" customWidth="1" width="8"/>
    <col min="5774" max="5774" customWidth="1" width="8"/>
    <col min="5775" max="5775" customWidth="1" width="8"/>
    <col min="5776" max="5776" customWidth="1" width="8"/>
    <col min="5777" max="5777" customWidth="1" width="8"/>
    <col min="5778" max="5778" customWidth="1" width="8"/>
    <col min="5779" max="5779" customWidth="1" width="8"/>
    <col min="5780" max="5780" customWidth="1" width="8"/>
    <col min="5781" max="5781" customWidth="1" width="8"/>
    <col min="5782" max="5782" customWidth="1" width="8"/>
    <col min="5783" max="5783" customWidth="1" width="8"/>
    <col min="5784" max="5784" customWidth="1" width="8"/>
    <col min="5785" max="5785" customWidth="1" width="8"/>
    <col min="5786" max="5786" customWidth="1" width="8"/>
    <col min="5787" max="5787" customWidth="1" width="8"/>
    <col min="5788" max="5788" customWidth="1" width="8"/>
    <col min="5789" max="5789" customWidth="1" width="8"/>
    <col min="5790" max="5790" customWidth="1" width="8"/>
    <col min="5791" max="5791" customWidth="1" width="8"/>
    <col min="5792" max="5792" customWidth="1" width="8"/>
    <col min="5793" max="5793" customWidth="1" width="8"/>
    <col min="5794" max="5794" customWidth="1" width="8"/>
    <col min="5795" max="5795" customWidth="1" width="8"/>
    <col min="5796" max="5796" customWidth="1" width="8"/>
    <col min="5797" max="5797" customWidth="1" width="8"/>
    <col min="5798" max="5798" customWidth="1" width="8"/>
    <col min="5799" max="5799" customWidth="1" width="8"/>
    <col min="5800" max="5800" customWidth="1" width="8"/>
    <col min="5801" max="5801" customWidth="1" width="8"/>
    <col min="5802" max="5802" customWidth="1" width="8"/>
    <col min="5803" max="5803" customWidth="1" width="8"/>
    <col min="5804" max="5804" customWidth="1" width="8"/>
    <col min="5805" max="5805" customWidth="1" width="8"/>
    <col min="5806" max="5806" customWidth="1" width="8"/>
    <col min="5807" max="5807" customWidth="1" width="8"/>
    <col min="5808" max="5808" customWidth="1" width="8"/>
    <col min="5809" max="5809" customWidth="1" width="8"/>
    <col min="5810" max="5810" customWidth="1" width="8"/>
    <col min="5811" max="5811" customWidth="1" width="8"/>
    <col min="5812" max="5812" customWidth="1" width="8"/>
    <col min="5813" max="5813" customWidth="1" width="8"/>
    <col min="5814" max="5814" customWidth="1" width="8"/>
    <col min="5815" max="5815" customWidth="1" width="8"/>
    <col min="5816" max="5816" customWidth="1" width="8"/>
    <col min="5817" max="5817" customWidth="1" width="8"/>
    <col min="5818" max="5818" customWidth="1" width="8"/>
    <col min="5819" max="5819" customWidth="1" width="8"/>
    <col min="5820" max="5820" customWidth="1" width="8"/>
    <col min="5821" max="5821" customWidth="1" width="8"/>
    <col min="5822" max="5822" customWidth="1" width="8"/>
    <col min="5823" max="5823" customWidth="1" width="8"/>
    <col min="5824" max="5824" customWidth="1" width="8"/>
    <col min="5825" max="5825" customWidth="1" width="8"/>
    <col min="5826" max="5826" customWidth="1" width="8"/>
    <col min="5827" max="5827" customWidth="1" width="8"/>
    <col min="5828" max="5828" customWidth="1" width="8"/>
    <col min="5829" max="5829" customWidth="1" width="8"/>
    <col min="5830" max="5830" customWidth="1" width="8"/>
    <col min="5831" max="5831" customWidth="1" width="8"/>
    <col min="5832" max="5832" customWidth="1" width="8"/>
    <col min="5833" max="5833" customWidth="1" width="8"/>
    <col min="5834" max="5834" customWidth="1" width="8"/>
    <col min="5835" max="5835" customWidth="1" width="8"/>
    <col min="5836" max="5836" customWidth="1" width="8"/>
    <col min="5837" max="5837" customWidth="1" width="8"/>
    <col min="5838" max="5838" customWidth="1" width="8"/>
    <col min="5839" max="5839" customWidth="1" width="8"/>
    <col min="5840" max="5840" customWidth="1" width="8"/>
    <col min="5841" max="5841" customWidth="1" width="8"/>
    <col min="5842" max="5842" customWidth="1" width="8"/>
    <col min="5843" max="5843" customWidth="1" width="8"/>
    <col min="5844" max="5844" customWidth="1" width="8"/>
    <col min="5845" max="5845" customWidth="1" width="8"/>
    <col min="5846" max="5846" customWidth="1" width="8"/>
    <col min="5847" max="5847" customWidth="1" width="8"/>
    <col min="5848" max="5848" customWidth="1" width="8"/>
    <col min="5849" max="5849" customWidth="1" width="8"/>
    <col min="5850" max="5850" customWidth="1" width="8"/>
    <col min="5851" max="5851" customWidth="1" width="8"/>
    <col min="5852" max="5852" customWidth="1" width="8"/>
    <col min="5853" max="5853" customWidth="1" width="8"/>
    <col min="5854" max="5854" customWidth="1" width="8"/>
    <col min="5855" max="5855" customWidth="1" width="8"/>
    <col min="5856" max="5856" customWidth="1" width="8"/>
    <col min="5857" max="5857" customWidth="1" width="8"/>
    <col min="5858" max="5858" customWidth="1" width="8"/>
    <col min="5859" max="5859" customWidth="1" width="8"/>
    <col min="5860" max="5860" customWidth="1" width="8"/>
    <col min="5861" max="5861" customWidth="1" width="8"/>
    <col min="5862" max="5862" customWidth="1" width="8"/>
    <col min="5863" max="5863" customWidth="1" width="8"/>
    <col min="5864" max="5864" customWidth="1" width="8"/>
    <col min="5865" max="5865" customWidth="1" width="8"/>
    <col min="5866" max="5866" customWidth="1" width="8"/>
    <col min="5867" max="5867" customWidth="1" width="8"/>
    <col min="5868" max="5868" customWidth="1" width="8"/>
    <col min="5869" max="5869" customWidth="1" width="8"/>
    <col min="5870" max="5870" customWidth="1" width="8"/>
    <col min="5871" max="5871" customWidth="1" width="8"/>
    <col min="5872" max="5872" customWidth="1" width="8"/>
    <col min="5873" max="5873" customWidth="1" width="8"/>
    <col min="5874" max="5874" customWidth="1" width="8"/>
    <col min="5875" max="5875" customWidth="1" width="8"/>
    <col min="5876" max="5876" customWidth="1" width="8"/>
    <col min="5877" max="5877" customWidth="1" width="8"/>
    <col min="5878" max="5878" customWidth="1" width="8"/>
    <col min="5879" max="5879" customWidth="1" width="8"/>
    <col min="5880" max="5880" customWidth="1" width="8"/>
    <col min="5881" max="5881" customWidth="1" width="8"/>
    <col min="5882" max="5882" customWidth="1" width="8"/>
    <col min="5883" max="5883" customWidth="1" width="8"/>
    <col min="5884" max="5884" customWidth="1" width="8"/>
    <col min="5885" max="5885" customWidth="1" width="8"/>
    <col min="5886" max="5886" customWidth="1" width="8"/>
    <col min="5887" max="5887" customWidth="1" width="8"/>
    <col min="5888" max="5888" customWidth="1" width="8"/>
    <col min="5889" max="5889" customWidth="1" width="8"/>
    <col min="5890" max="5890" customWidth="1" width="8"/>
    <col min="5891" max="5891" customWidth="1" width="8"/>
    <col min="5892" max="5892" customWidth="1" width="8"/>
    <col min="5893" max="5893" customWidth="1" width="8"/>
    <col min="5894" max="5894" customWidth="1" width="8"/>
    <col min="5895" max="5895" customWidth="1" width="8"/>
    <col min="5896" max="5896" customWidth="1" width="8"/>
    <col min="5897" max="5897" customWidth="1" width="8"/>
    <col min="5898" max="5898" customWidth="1" width="8"/>
    <col min="5899" max="5899" customWidth="1" width="8"/>
    <col min="5900" max="5900" customWidth="1" width="8"/>
    <col min="5901" max="5901" customWidth="1" width="8"/>
    <col min="5902" max="5902" customWidth="1" width="8"/>
    <col min="5903" max="5903" customWidth="1" width="8"/>
    <col min="5904" max="5904" customWidth="1" width="8"/>
    <col min="5905" max="5905" customWidth="1" width="8"/>
    <col min="5906" max="5906" customWidth="1" width="8"/>
    <col min="5907" max="5907" customWidth="1" width="8"/>
    <col min="5908" max="5908" customWidth="1" width="8"/>
    <col min="5909" max="5909" customWidth="1" width="8"/>
    <col min="5910" max="5910" customWidth="1" width="8"/>
    <col min="5911" max="5911" customWidth="1" width="8"/>
    <col min="5912" max="5912" customWidth="1" width="8"/>
    <col min="5913" max="5913" customWidth="1" width="8"/>
    <col min="5914" max="5914" customWidth="1" width="8"/>
    <col min="5915" max="5915" customWidth="1" width="8"/>
    <col min="5916" max="5916" customWidth="1" width="8"/>
    <col min="5917" max="5917" customWidth="1" width="8"/>
    <col min="5918" max="5918" customWidth="1" width="8"/>
    <col min="5919" max="5919" customWidth="1" width="8"/>
    <col min="5920" max="5920" customWidth="1" width="8"/>
    <col min="5921" max="5921" customWidth="1" width="8"/>
    <col min="5922" max="5922" customWidth="1" width="8"/>
    <col min="5923" max="5923" customWidth="1" width="8"/>
    <col min="5924" max="5924" customWidth="1" width="8"/>
    <col min="5925" max="5925" customWidth="1" width="8"/>
    <col min="5926" max="5926" customWidth="1" width="8"/>
    <col min="5927" max="5927" customWidth="1" width="8"/>
    <col min="5928" max="5928" customWidth="1" width="8"/>
    <col min="5929" max="5929" customWidth="1" width="8"/>
    <col min="5930" max="5930" customWidth="1" width="8"/>
    <col min="5931" max="5931" customWidth="1" width="8"/>
    <col min="5932" max="5932" customWidth="1" width="8"/>
    <col min="5933" max="5933" customWidth="1" width="8"/>
    <col min="5934" max="5934" customWidth="1" width="8"/>
    <col min="5935" max="5935" customWidth="1" width="8"/>
    <col min="5936" max="5936" customWidth="1" width="8"/>
    <col min="5937" max="5937" customWidth="1" width="8"/>
    <col min="5938" max="5938" customWidth="1" width="8"/>
    <col min="5939" max="5939" customWidth="1" width="8"/>
    <col min="5940" max="5940" customWidth="1" width="8"/>
    <col min="5941" max="5941" customWidth="1" width="8"/>
    <col min="5942" max="5942" customWidth="1" width="8"/>
    <col min="5943" max="5943" customWidth="1" width="8"/>
    <col min="5944" max="5944" customWidth="1" width="8"/>
    <col min="5945" max="5945" customWidth="1" width="8"/>
    <col min="5946" max="5946" customWidth="1" width="8"/>
    <col min="5947" max="5947" customWidth="1" width="8"/>
    <col min="5948" max="5948" customWidth="1" width="8"/>
    <col min="5949" max="5949" customWidth="1" width="8"/>
    <col min="5950" max="5950" customWidth="1" width="8"/>
    <col min="5951" max="5951" customWidth="1" width="8"/>
    <col min="5952" max="5952" customWidth="1" width="8"/>
    <col min="5953" max="5953" customWidth="1" width="8"/>
    <col min="5954" max="5954" customWidth="1" width="8"/>
    <col min="5955" max="5955" customWidth="1" width="8"/>
    <col min="5956" max="5956" customWidth="1" width="8"/>
    <col min="5957" max="5957" customWidth="1" width="8"/>
    <col min="5958" max="5958" customWidth="1" width="8"/>
    <col min="5959" max="5959" customWidth="1" width="8"/>
    <col min="5960" max="5960" customWidth="1" width="8"/>
    <col min="5961" max="5961" customWidth="1" width="8"/>
    <col min="5962" max="5962" customWidth="1" width="8"/>
    <col min="5963" max="5963" customWidth="1" width="8"/>
    <col min="5964" max="5964" customWidth="1" width="8"/>
    <col min="5965" max="5965" customWidth="1" width="8"/>
    <col min="5966" max="5966" customWidth="1" width="8"/>
    <col min="5967" max="5967" customWidth="1" width="8"/>
    <col min="5968" max="5968" customWidth="1" width="8"/>
    <col min="5969" max="5969" customWidth="1" width="8"/>
    <col min="5970" max="5970" customWidth="1" width="8"/>
    <col min="5971" max="5971" customWidth="1" width="8"/>
    <col min="5972" max="5972" customWidth="1" width="8"/>
    <col min="5973" max="5973" customWidth="1" width="8"/>
    <col min="5974" max="5974" customWidth="1" width="8"/>
    <col min="5975" max="5975" customWidth="1" width="8"/>
    <col min="5976" max="5976" customWidth="1" width="8"/>
    <col min="5977" max="5977" customWidth="1" width="8"/>
    <col min="5978" max="5978" customWidth="1" width="8"/>
    <col min="5979" max="5979" customWidth="1" width="8"/>
    <col min="5980" max="5980" customWidth="1" width="8"/>
    <col min="5981" max="5981" customWidth="1" width="8"/>
    <col min="5982" max="5982" customWidth="1" width="8"/>
    <col min="5983" max="5983" customWidth="1" width="8"/>
    <col min="5984" max="5984" customWidth="1" width="8"/>
    <col min="5985" max="5985" customWidth="1" width="8"/>
    <col min="5986" max="5986" customWidth="1" width="8"/>
    <col min="5987" max="5987" customWidth="1" width="8"/>
    <col min="5988" max="5988" customWidth="1" width="8"/>
    <col min="5989" max="5989" customWidth="1" width="8"/>
    <col min="5990" max="5990" customWidth="1" width="8"/>
    <col min="5991" max="5991" customWidth="1" width="8"/>
    <col min="5992" max="5992" customWidth="1" width="8"/>
    <col min="5993" max="5993" customWidth="1" width="8"/>
    <col min="5994" max="5994" customWidth="1" width="8"/>
    <col min="5995" max="5995" customWidth="1" width="8"/>
    <col min="5996" max="5996" customWidth="1" width="8"/>
    <col min="5997" max="5997" customWidth="1" width="8"/>
    <col min="5998" max="5998" customWidth="1" width="8"/>
    <col min="5999" max="5999" customWidth="1" width="8"/>
    <col min="6000" max="6000" customWidth="1" width="8"/>
    <col min="6001" max="6001" customWidth="1" width="8"/>
    <col min="6002" max="6002" customWidth="1" width="8"/>
    <col min="6003" max="6003" customWidth="1" width="8"/>
    <col min="6004" max="6004" customWidth="1" width="8"/>
    <col min="6005" max="6005" customWidth="1" width="8"/>
    <col min="6006" max="6006" customWidth="1" width="8"/>
    <col min="6007" max="6007" customWidth="1" width="8"/>
    <col min="6008" max="6008" customWidth="1" width="8"/>
    <col min="6009" max="6009" customWidth="1" width="8"/>
    <col min="6010" max="6010" customWidth="1" width="8"/>
    <col min="6011" max="6011" customWidth="1" width="8"/>
    <col min="6012" max="6012" customWidth="1" width="8"/>
    <col min="6013" max="6013" customWidth="1" width="8"/>
    <col min="6014" max="6014" customWidth="1" width="8"/>
    <col min="6015" max="6015" customWidth="1" width="8"/>
    <col min="6016" max="6016" customWidth="1" width="8"/>
    <col min="6017" max="6017" customWidth="1" width="8"/>
    <col min="6018" max="6018" customWidth="1" width="8"/>
    <col min="6019" max="6019" customWidth="1" width="8"/>
    <col min="6020" max="6020" customWidth="1" width="8"/>
    <col min="6021" max="6021" customWidth="1" width="8"/>
    <col min="6022" max="6022" customWidth="1" width="8"/>
    <col min="6023" max="6023" customWidth="1" width="8"/>
    <col min="6024" max="6024" customWidth="1" width="8"/>
    <col min="6025" max="6025" customWidth="1" width="8"/>
    <col min="6026" max="6026" customWidth="1" width="8"/>
    <col min="6027" max="6027" customWidth="1" width="8"/>
    <col min="6028" max="6028" customWidth="1" width="8"/>
    <col min="6029" max="6029" customWidth="1" width="8"/>
    <col min="6030" max="6030" customWidth="1" width="8"/>
    <col min="6031" max="6031" customWidth="1" width="8"/>
    <col min="6032" max="6032" customWidth="1" width="8"/>
    <col min="6033" max="6033" customWidth="1" width="8"/>
    <col min="6034" max="6034" customWidth="1" width="8"/>
    <col min="6035" max="6035" customWidth="1" width="8"/>
    <col min="6036" max="6036" customWidth="1" width="8"/>
    <col min="6037" max="6037" customWidth="1" width="8"/>
    <col min="6038" max="6038" customWidth="1" width="8"/>
    <col min="6039" max="6039" customWidth="1" width="8"/>
    <col min="6040" max="6040" customWidth="1" width="8"/>
    <col min="6041" max="6041" customWidth="1" width="8"/>
    <col min="6042" max="6042" customWidth="1" width="8"/>
    <col min="6043" max="6043" customWidth="1" width="8"/>
    <col min="6044" max="6044" customWidth="1" width="8"/>
    <col min="6045" max="6045" customWidth="1" width="8"/>
    <col min="6046" max="6046" customWidth="1" width="8"/>
    <col min="6047" max="6047" customWidth="1" width="8"/>
    <col min="6048" max="6048" customWidth="1" width="8"/>
    <col min="6049" max="6049" customWidth="1" width="8"/>
    <col min="6050" max="6050" customWidth="1" width="8"/>
    <col min="6051" max="6051" customWidth="1" width="8"/>
    <col min="6052" max="6052" customWidth="1" width="8"/>
    <col min="6053" max="6053" customWidth="1" width="8"/>
    <col min="6054" max="6054" customWidth="1" width="8"/>
    <col min="6055" max="6055" customWidth="1" width="8"/>
    <col min="6056" max="6056" customWidth="1" width="8"/>
    <col min="6057" max="6057" customWidth="1" width="8"/>
    <col min="6058" max="6058" customWidth="1" width="8"/>
    <col min="6059" max="6059" customWidth="1" width="8"/>
    <col min="6060" max="6060" customWidth="1" width="8"/>
    <col min="6061" max="6061" customWidth="1" width="8"/>
    <col min="6062" max="6062" customWidth="1" width="8"/>
    <col min="6063" max="6063" customWidth="1" width="8"/>
    <col min="6064" max="6064" customWidth="1" width="8"/>
    <col min="6065" max="6065" customWidth="1" width="8"/>
    <col min="6066" max="6066" customWidth="1" width="8"/>
    <col min="6067" max="6067" customWidth="1" width="8"/>
    <col min="6068" max="6068" customWidth="1" width="8"/>
    <col min="6069" max="6069" customWidth="1" width="8"/>
    <col min="6070" max="6070" customWidth="1" width="8"/>
    <col min="6071" max="6071" customWidth="1" width="8"/>
    <col min="6072" max="6072" customWidth="1" width="8"/>
    <col min="6073" max="6073" customWidth="1" width="8"/>
    <col min="6074" max="6074" customWidth="1" width="8"/>
    <col min="6075" max="6075" customWidth="1" width="8"/>
    <col min="6076" max="6076" customWidth="1" width="8"/>
    <col min="6077" max="6077" customWidth="1" width="8"/>
    <col min="6078" max="6078" customWidth="1" width="8"/>
    <col min="6079" max="6079" customWidth="1" width="8"/>
    <col min="6080" max="6080" customWidth="1" width="8"/>
    <col min="6081" max="6081" customWidth="1" width="8"/>
    <col min="6082" max="6082" customWidth="1" width="8"/>
    <col min="6083" max="6083" customWidth="1" width="8"/>
    <col min="6084" max="6084" customWidth="1" width="8"/>
    <col min="6085" max="6085" customWidth="1" width="8"/>
    <col min="6086" max="6086" customWidth="1" width="8"/>
    <col min="6087" max="6087" customWidth="1" width="8"/>
    <col min="6088" max="6088" customWidth="1" width="8"/>
    <col min="6089" max="6089" customWidth="1" width="8"/>
    <col min="6090" max="6090" customWidth="1" width="8"/>
    <col min="6091" max="6091" customWidth="1" width="8"/>
    <col min="6092" max="6092" customWidth="1" width="8"/>
    <col min="6093" max="6093" customWidth="1" width="8"/>
    <col min="6094" max="6094" customWidth="1" width="8"/>
    <col min="6095" max="6095" customWidth="1" width="8"/>
    <col min="6096" max="6096" customWidth="1" width="8"/>
    <col min="6097" max="6097" customWidth="1" width="8"/>
    <col min="6098" max="6098" customWidth="1" width="8"/>
    <col min="6099" max="6099" customWidth="1" width="8"/>
    <col min="6100" max="6100" customWidth="1" width="8"/>
    <col min="6101" max="6101" customWidth="1" width="8"/>
    <col min="6102" max="6102" customWidth="1" width="8"/>
    <col min="6103" max="6103" customWidth="1" width="8"/>
    <col min="6104" max="6104" customWidth="1" width="8"/>
    <col min="6105" max="6105" customWidth="1" width="8"/>
    <col min="6106" max="6106" customWidth="1" width="8"/>
    <col min="6107" max="6107" customWidth="1" width="8"/>
    <col min="6108" max="6108" customWidth="1" width="8"/>
    <col min="6109" max="6109" customWidth="1" width="8"/>
    <col min="6110" max="6110" customWidth="1" width="8"/>
    <col min="6111" max="6111" customWidth="1" width="8"/>
    <col min="6112" max="6112" customWidth="1" width="8"/>
    <col min="6113" max="6113" customWidth="1" width="8"/>
    <col min="6114" max="6114" customWidth="1" width="8"/>
    <col min="6115" max="6115" customWidth="1" width="8"/>
    <col min="6116" max="6116" customWidth="1" width="8"/>
    <col min="6117" max="6117" customWidth="1" width="8"/>
    <col min="6118" max="6118" customWidth="1" width="8"/>
    <col min="6119" max="6119" customWidth="1" width="8"/>
    <col min="6120" max="6120" customWidth="1" width="8"/>
    <col min="6121" max="6121" customWidth="1" width="8"/>
    <col min="6122" max="6122" customWidth="1" width="8"/>
    <col min="6123" max="6123" customWidth="1" width="8"/>
    <col min="6124" max="6124" customWidth="1" width="8"/>
    <col min="6125" max="6125" customWidth="1" width="8"/>
    <col min="6126" max="6126" customWidth="1" width="8"/>
    <col min="6127" max="6127" customWidth="1" width="8"/>
    <col min="6128" max="6128" customWidth="1" width="8"/>
    <col min="6129" max="6129" customWidth="1" width="8"/>
    <col min="6130" max="6130" customWidth="1" width="8"/>
    <col min="6131" max="6131" customWidth="1" width="8"/>
    <col min="6132" max="6132" customWidth="1" width="8"/>
    <col min="6133" max="6133" customWidth="1" width="8"/>
    <col min="6134" max="6134" customWidth="1" width="8"/>
    <col min="6135" max="6135" customWidth="1" width="8"/>
    <col min="6136" max="6136" customWidth="1" width="8"/>
    <col min="6137" max="6137" customWidth="1" width="8"/>
    <col min="6138" max="6138" customWidth="1" width="8"/>
    <col min="6139" max="6139" customWidth="1" width="8"/>
    <col min="6140" max="6140" customWidth="1" width="8"/>
    <col min="6141" max="6141" customWidth="1" width="8"/>
    <col min="6142" max="6142" customWidth="1" width="8"/>
    <col min="6143" max="6143" customWidth="1" width="8"/>
    <col min="6144" max="6144" customWidth="1" width="8"/>
    <col min="6145" max="6145" customWidth="1" width="8"/>
    <col min="6146" max="6146" customWidth="1" width="8"/>
    <col min="6147" max="6147" customWidth="1" width="8"/>
    <col min="6148" max="6148" customWidth="1" width="8"/>
    <col min="6149" max="6149" customWidth="1" width="8"/>
    <col min="6150" max="6150" customWidth="1" width="8"/>
    <col min="6151" max="6151" customWidth="1" width="8"/>
    <col min="6152" max="6152" customWidth="1" width="8"/>
    <col min="6153" max="6153" customWidth="1" width="8"/>
    <col min="6154" max="6154" customWidth="1" width="8"/>
    <col min="6155" max="6155" customWidth="1" width="8"/>
    <col min="6156" max="6156" customWidth="1" width="8"/>
    <col min="6157" max="6157" customWidth="1" width="8"/>
    <col min="6158" max="6158" customWidth="1" width="8"/>
    <col min="6159" max="6159" customWidth="1" width="8"/>
    <col min="6160" max="6160" customWidth="1" width="8"/>
    <col min="6161" max="6161" customWidth="1" width="8"/>
    <col min="6162" max="6162" customWidth="1" width="8"/>
    <col min="6163" max="6163" customWidth="1" width="8"/>
    <col min="6164" max="6164" customWidth="1" width="8"/>
    <col min="6165" max="6165" customWidth="1" width="8"/>
    <col min="6166" max="6166" customWidth="1" width="8"/>
    <col min="6167" max="6167" customWidth="1" width="8"/>
    <col min="6168" max="6168" customWidth="1" width="8"/>
    <col min="6169" max="6169" customWidth="1" width="8"/>
    <col min="6170" max="6170" customWidth="1" width="8"/>
    <col min="6171" max="6171" customWidth="1" width="8"/>
    <col min="6172" max="6172" customWidth="1" width="8"/>
    <col min="6173" max="6173" customWidth="1" width="8"/>
    <col min="6174" max="6174" customWidth="1" width="8"/>
    <col min="6175" max="6175" customWidth="1" width="8"/>
    <col min="6176" max="6176" customWidth="1" width="8"/>
    <col min="6177" max="6177" customWidth="1" width="8"/>
    <col min="6178" max="6178" customWidth="1" width="8"/>
    <col min="6179" max="6179" customWidth="1" width="8"/>
    <col min="6180" max="6180" customWidth="1" width="8"/>
    <col min="6181" max="6181" customWidth="1" width="8"/>
    <col min="6182" max="6182" customWidth="1" width="8"/>
    <col min="6183" max="6183" customWidth="1" width="8"/>
    <col min="6184" max="6184" customWidth="1" width="8"/>
    <col min="6185" max="6185" customWidth="1" width="8"/>
    <col min="6186" max="6186" customWidth="1" width="8"/>
    <col min="6187" max="6187" customWidth="1" width="8"/>
    <col min="6188" max="6188" customWidth="1" width="8"/>
    <col min="6189" max="6189" customWidth="1" width="8"/>
    <col min="6190" max="6190" customWidth="1" width="8"/>
    <col min="6191" max="6191" customWidth="1" width="8"/>
    <col min="6192" max="6192" customWidth="1" width="8"/>
    <col min="6193" max="6193" customWidth="1" width="8"/>
    <col min="6194" max="6194" customWidth="1" width="8"/>
    <col min="6195" max="6195" customWidth="1" width="8"/>
    <col min="6196" max="6196" customWidth="1" width="8"/>
    <col min="6197" max="6197" customWidth="1" width="8"/>
    <col min="6198" max="6198" customWidth="1" width="8"/>
    <col min="6199" max="6199" customWidth="1" width="8"/>
    <col min="6200" max="6200" customWidth="1" width="8"/>
    <col min="6201" max="6201" customWidth="1" width="8"/>
    <col min="6202" max="6202" customWidth="1" width="8"/>
    <col min="6203" max="6203" customWidth="1" width="8"/>
    <col min="6204" max="6204" customWidth="1" width="8"/>
    <col min="6205" max="6205" customWidth="1" width="8"/>
    <col min="6206" max="6206" customWidth="1" width="8"/>
    <col min="6207" max="6207" customWidth="1" width="8"/>
    <col min="6208" max="6208" customWidth="1" width="8"/>
    <col min="6209" max="6209" customWidth="1" width="8"/>
    <col min="6210" max="6210" customWidth="1" width="8"/>
    <col min="6211" max="6211" customWidth="1" width="8"/>
    <col min="6212" max="6212" customWidth="1" width="8"/>
    <col min="6213" max="6213" customWidth="1" width="8"/>
    <col min="6214" max="6214" customWidth="1" width="8"/>
    <col min="6215" max="6215" customWidth="1" width="8"/>
    <col min="6216" max="6216" customWidth="1" width="8"/>
    <col min="6217" max="6217" customWidth="1" width="8"/>
    <col min="6218" max="6218" customWidth="1" width="8"/>
    <col min="6219" max="6219" customWidth="1" width="8"/>
    <col min="6220" max="6220" customWidth="1" width="8"/>
    <col min="6221" max="6221" customWidth="1" width="8"/>
    <col min="6222" max="6222" customWidth="1" width="8"/>
    <col min="6223" max="6223" customWidth="1" width="8"/>
    <col min="6224" max="6224" customWidth="1" width="8"/>
    <col min="6225" max="6225" customWidth="1" width="8"/>
    <col min="6226" max="6226" customWidth="1" width="8"/>
    <col min="6227" max="6227" customWidth="1" width="8"/>
    <col min="6228" max="6228" customWidth="1" width="8"/>
    <col min="6229" max="6229" customWidth="1" width="8"/>
    <col min="6230" max="6230" customWidth="1" width="8"/>
    <col min="6231" max="6231" customWidth="1" width="8"/>
    <col min="6232" max="6232" customWidth="1" width="8"/>
    <col min="6233" max="6233" customWidth="1" width="8"/>
    <col min="6234" max="6234" customWidth="1" width="8"/>
    <col min="6235" max="6235" customWidth="1" width="8"/>
    <col min="6236" max="6236" customWidth="1" width="8"/>
    <col min="6237" max="6237" customWidth="1" width="8"/>
    <col min="6238" max="6238" customWidth="1" width="8"/>
    <col min="6239" max="6239" customWidth="1" width="8"/>
    <col min="6240" max="6240" customWidth="1" width="8"/>
    <col min="6241" max="6241" customWidth="1" width="8"/>
    <col min="6242" max="6242" customWidth="1" width="8"/>
    <col min="6243" max="6243" customWidth="1" width="8"/>
    <col min="6244" max="6244" customWidth="1" width="8"/>
    <col min="6245" max="6245" customWidth="1" width="8"/>
    <col min="6246" max="6246" customWidth="1" width="8"/>
    <col min="6247" max="6247" customWidth="1" width="8"/>
    <col min="6248" max="6248" customWidth="1" width="8"/>
    <col min="6249" max="6249" customWidth="1" width="8"/>
    <col min="6250" max="6250" customWidth="1" width="8"/>
    <col min="6251" max="6251" customWidth="1" width="8"/>
    <col min="6252" max="6252" customWidth="1" width="8"/>
    <col min="6253" max="6253" customWidth="1" width="8"/>
    <col min="6254" max="6254" customWidth="1" width="8"/>
    <col min="6255" max="6255" customWidth="1" width="8"/>
    <col min="6256" max="6256" customWidth="1" width="8"/>
    <col min="6257" max="6257" customWidth="1" width="8"/>
    <col min="6258" max="6258" customWidth="1" width="8"/>
    <col min="6259" max="6259" customWidth="1" width="8"/>
    <col min="6260" max="6260" customWidth="1" width="8"/>
    <col min="6261" max="6261" customWidth="1" width="8"/>
    <col min="6262" max="6262" customWidth="1" width="8"/>
    <col min="6263" max="6263" customWidth="1" width="8"/>
    <col min="6264" max="6264" customWidth="1" width="8"/>
    <col min="6265" max="6265" customWidth="1" width="8"/>
    <col min="6266" max="6266" customWidth="1" width="8"/>
    <col min="6267" max="6267" customWidth="1" width="8"/>
    <col min="6268" max="6268" customWidth="1" width="8"/>
    <col min="6269" max="6269" customWidth="1" width="8"/>
    <col min="6270" max="6270" customWidth="1" width="8"/>
    <col min="6271" max="6271" customWidth="1" width="8"/>
    <col min="6272" max="6272" customWidth="1" width="8"/>
    <col min="6273" max="6273" customWidth="1" width="8"/>
    <col min="6274" max="6274" customWidth="1" width="8"/>
    <col min="6275" max="6275" customWidth="1" width="8"/>
    <col min="6276" max="6276" customWidth="1" width="8"/>
    <col min="6277" max="6277" customWidth="1" width="8"/>
    <col min="6278" max="6278" customWidth="1" width="8"/>
    <col min="6279" max="6279" customWidth="1" width="8"/>
    <col min="6280" max="6280" customWidth="1" width="8"/>
    <col min="6281" max="6281" customWidth="1" width="8"/>
    <col min="6282" max="6282" customWidth="1" width="8"/>
    <col min="6283" max="6283" customWidth="1" width="8"/>
    <col min="6284" max="6284" customWidth="1" width="8"/>
    <col min="6285" max="6285" customWidth="1" width="8"/>
    <col min="6286" max="6286" customWidth="1" width="8"/>
    <col min="6287" max="6287" customWidth="1" width="8"/>
    <col min="6288" max="6288" customWidth="1" width="8"/>
    <col min="6289" max="6289" customWidth="1" width="8"/>
    <col min="6290" max="6290" customWidth="1" width="8"/>
    <col min="6291" max="6291" customWidth="1" width="8"/>
    <col min="6292" max="6292" customWidth="1" width="8"/>
    <col min="6293" max="6293" customWidth="1" width="8"/>
    <col min="6294" max="6294" customWidth="1" width="8"/>
    <col min="6295" max="6295" customWidth="1" width="8"/>
    <col min="6296" max="6296" customWidth="1" width="8"/>
    <col min="6297" max="6297" customWidth="1" width="8"/>
    <col min="6298" max="6298" customWidth="1" width="8"/>
    <col min="6299" max="6299" customWidth="1" width="8"/>
    <col min="6300" max="6300" customWidth="1" width="8"/>
    <col min="6301" max="6301" customWidth="1" width="8"/>
    <col min="6302" max="6302" customWidth="1" width="8"/>
    <col min="6303" max="6303" customWidth="1" width="8"/>
    <col min="6304" max="6304" customWidth="1" width="8"/>
    <col min="6305" max="6305" customWidth="1" width="8"/>
    <col min="6306" max="6306" customWidth="1" width="8"/>
    <col min="6307" max="6307" customWidth="1" width="8"/>
    <col min="6308" max="6308" customWidth="1" width="8"/>
    <col min="6309" max="6309" customWidth="1" width="8"/>
    <col min="6310" max="6310" customWidth="1" width="8"/>
    <col min="6311" max="6311" customWidth="1" width="8"/>
    <col min="6312" max="6312" customWidth="1" width="8"/>
    <col min="6313" max="6313" customWidth="1" width="8"/>
    <col min="6314" max="6314" customWidth="1" width="8"/>
    <col min="6315" max="6315" customWidth="1" width="8"/>
    <col min="6316" max="6316" customWidth="1" width="8"/>
    <col min="6317" max="6317" customWidth="1" width="8"/>
    <col min="6318" max="6318" customWidth="1" width="8"/>
    <col min="6319" max="6319" customWidth="1" width="8"/>
    <col min="6320" max="6320" customWidth="1" width="8"/>
    <col min="6321" max="6321" customWidth="1" width="8"/>
    <col min="6322" max="6322" customWidth="1" width="8"/>
    <col min="6323" max="6323" customWidth="1" width="8"/>
    <col min="6324" max="6324" customWidth="1" width="8"/>
    <col min="6325" max="6325" customWidth="1" width="8"/>
    <col min="6326" max="6326" customWidth="1" width="8"/>
    <col min="6327" max="6327" customWidth="1" width="8"/>
    <col min="6328" max="6328" customWidth="1" width="8"/>
    <col min="6329" max="6329" customWidth="1" width="8"/>
    <col min="6330" max="6330" customWidth="1" width="8"/>
    <col min="6331" max="6331" customWidth="1" width="8"/>
    <col min="6332" max="6332" customWidth="1" width="8"/>
    <col min="6333" max="6333" customWidth="1" width="8"/>
    <col min="6334" max="6334" customWidth="1" width="8"/>
    <col min="6335" max="6335" customWidth="1" width="8"/>
    <col min="6336" max="6336" customWidth="1" width="8"/>
    <col min="6337" max="6337" customWidth="1" width="8"/>
    <col min="6338" max="6338" customWidth="1" width="8"/>
    <col min="6339" max="6339" customWidth="1" width="8"/>
    <col min="6340" max="6340" customWidth="1" width="8"/>
    <col min="6341" max="6341" customWidth="1" width="8"/>
    <col min="6342" max="6342" customWidth="1" width="8"/>
    <col min="6343" max="6343" customWidth="1" width="8"/>
    <col min="6344" max="6344" customWidth="1" width="8"/>
    <col min="6345" max="6345" customWidth="1" width="8"/>
    <col min="6346" max="6346" customWidth="1" width="8"/>
    <col min="6347" max="6347" customWidth="1" width="8"/>
    <col min="6348" max="6348" customWidth="1" width="8"/>
    <col min="6349" max="6349" customWidth="1" width="8"/>
    <col min="6350" max="6350" customWidth="1" width="8"/>
    <col min="6351" max="6351" customWidth="1" width="8"/>
    <col min="6352" max="6352" customWidth="1" width="8"/>
    <col min="6353" max="6353" customWidth="1" width="8"/>
    <col min="6354" max="6354" customWidth="1" width="8"/>
    <col min="6355" max="6355" customWidth="1" width="8"/>
    <col min="6356" max="6356" customWidth="1" width="8"/>
    <col min="6357" max="6357" customWidth="1" width="8"/>
    <col min="6358" max="6358" customWidth="1" width="8"/>
    <col min="6359" max="6359" customWidth="1" width="8"/>
    <col min="6360" max="6360" customWidth="1" width="8"/>
    <col min="6361" max="6361" customWidth="1" width="8"/>
    <col min="6362" max="6362" customWidth="1" width="8"/>
    <col min="6363" max="6363" customWidth="1" width="8"/>
    <col min="6364" max="6364" customWidth="1" width="8"/>
    <col min="6365" max="6365" customWidth="1" width="8"/>
    <col min="6366" max="6366" customWidth="1" width="8"/>
    <col min="6367" max="6367" customWidth="1" width="8"/>
    <col min="6368" max="6368" customWidth="1" width="8"/>
    <col min="6369" max="6369" customWidth="1" width="8"/>
    <col min="6370" max="6370" customWidth="1" width="8"/>
    <col min="6371" max="6371" customWidth="1" width="8"/>
    <col min="6372" max="6372" customWidth="1" width="8"/>
    <col min="6373" max="6373" customWidth="1" width="8"/>
    <col min="6374" max="6374" customWidth="1" width="8"/>
    <col min="6375" max="6375" customWidth="1" width="8"/>
    <col min="6376" max="6376" customWidth="1" width="8"/>
    <col min="6377" max="6377" customWidth="1" width="8"/>
    <col min="6378" max="6378" customWidth="1" width="8"/>
    <col min="6379" max="6379" customWidth="1" width="8"/>
    <col min="6380" max="6380" customWidth="1" width="8"/>
    <col min="6381" max="6381" customWidth="1" width="8"/>
    <col min="6382" max="6382" customWidth="1" width="8"/>
    <col min="6383" max="6383" customWidth="1" width="8"/>
    <col min="6384" max="6384" customWidth="1" width="8"/>
    <col min="6385" max="6385" customWidth="1" width="8"/>
    <col min="6386" max="6386" customWidth="1" width="8"/>
    <col min="6387" max="6387" customWidth="1" width="8"/>
    <col min="6388" max="6388" customWidth="1" width="8"/>
    <col min="6389" max="6389" customWidth="1" width="8"/>
    <col min="6390" max="6390" customWidth="1" width="8"/>
    <col min="6391" max="6391" customWidth="1" width="8"/>
    <col min="6392" max="6392" customWidth="1" width="8"/>
    <col min="6393" max="6393" customWidth="1" width="8"/>
    <col min="6394" max="6394" customWidth="1" width="8"/>
    <col min="6395" max="6395" customWidth="1" width="8"/>
    <col min="6396" max="6396" customWidth="1" width="8"/>
    <col min="6397" max="6397" customWidth="1" width="8"/>
    <col min="6398" max="6398" customWidth="1" width="8"/>
    <col min="6399" max="6399" customWidth="1" width="8"/>
    <col min="6400" max="6400" customWidth="1" width="8"/>
    <col min="6401" max="6401" customWidth="1" width="8"/>
    <col min="6402" max="6402" customWidth="1" width="8"/>
    <col min="6403" max="6403" customWidth="1" width="8"/>
    <col min="6404" max="6404" customWidth="1" width="8"/>
    <col min="6405" max="6405" customWidth="1" width="8"/>
    <col min="6406" max="6406" customWidth="1" width="8"/>
    <col min="6407" max="6407" customWidth="1" width="8"/>
    <col min="6408" max="6408" customWidth="1" width="8"/>
    <col min="6409" max="6409" customWidth="1" width="8"/>
    <col min="6410" max="6410" customWidth="1" width="8"/>
    <col min="6411" max="6411" customWidth="1" width="8"/>
    <col min="6412" max="6412" customWidth="1" width="8"/>
    <col min="6413" max="6413" customWidth="1" width="8"/>
    <col min="6414" max="6414" customWidth="1" width="8"/>
    <col min="6415" max="6415" customWidth="1" width="8"/>
    <col min="6416" max="6416" customWidth="1" width="8"/>
    <col min="6417" max="6417" customWidth="1" width="8"/>
    <col min="6418" max="6418" customWidth="1" width="8"/>
    <col min="6419" max="6419" customWidth="1" width="8"/>
    <col min="6420" max="6420" customWidth="1" width="8"/>
    <col min="6421" max="6421" customWidth="1" width="8"/>
    <col min="6422" max="6422" customWidth="1" width="8"/>
    <col min="6423" max="6423" customWidth="1" width="8"/>
    <col min="6424" max="6424" customWidth="1" width="8"/>
    <col min="6425" max="6425" customWidth="1" width="8"/>
    <col min="6426" max="6426" customWidth="1" width="8"/>
    <col min="6427" max="6427" customWidth="1" width="8"/>
    <col min="6428" max="6428" customWidth="1" width="8"/>
    <col min="6429" max="6429" customWidth="1" width="8"/>
    <col min="6430" max="6430" customWidth="1" width="8"/>
    <col min="6431" max="6431" customWidth="1" width="8"/>
    <col min="6432" max="6432" customWidth="1" width="8"/>
    <col min="6433" max="6433" customWidth="1" width="8"/>
    <col min="6434" max="6434" customWidth="1" width="8"/>
    <col min="6435" max="6435" customWidth="1" width="8"/>
    <col min="6436" max="6436" customWidth="1" width="8"/>
    <col min="6437" max="6437" customWidth="1" width="8"/>
    <col min="6438" max="6438" customWidth="1" width="8"/>
    <col min="6439" max="6439" customWidth="1" width="8"/>
    <col min="6440" max="6440" customWidth="1" width="8"/>
    <col min="6441" max="6441" customWidth="1" width="8"/>
    <col min="6442" max="6442" customWidth="1" width="8"/>
    <col min="6443" max="6443" customWidth="1" width="8"/>
    <col min="6444" max="6444" customWidth="1" width="8"/>
    <col min="6445" max="6445" customWidth="1" width="8"/>
    <col min="6446" max="6446" customWidth="1" width="8"/>
    <col min="6447" max="6447" customWidth="1" width="8"/>
    <col min="6448" max="6448" customWidth="1" width="8"/>
    <col min="6449" max="6449" customWidth="1" width="8"/>
    <col min="6450" max="6450" customWidth="1" width="8"/>
    <col min="6451" max="6451" customWidth="1" width="8"/>
    <col min="6452" max="6452" customWidth="1" width="8"/>
    <col min="6453" max="6453" customWidth="1" width="8"/>
    <col min="6454" max="6454" customWidth="1" width="8"/>
    <col min="6455" max="6455" customWidth="1" width="8"/>
    <col min="6456" max="6456" customWidth="1" width="8"/>
    <col min="6457" max="6457" customWidth="1" width="8"/>
    <col min="6458" max="6458" customWidth="1" width="8"/>
    <col min="6459" max="6459" customWidth="1" width="8"/>
    <col min="6460" max="6460" customWidth="1" width="8"/>
    <col min="6461" max="6461" customWidth="1" width="8"/>
    <col min="6462" max="6462" customWidth="1" width="8"/>
    <col min="6463" max="6463" customWidth="1" width="8"/>
    <col min="6464" max="6464" customWidth="1" width="8"/>
    <col min="6465" max="6465" customWidth="1" width="8"/>
    <col min="6466" max="6466" customWidth="1" width="8"/>
    <col min="6467" max="6467" customWidth="1" width="8"/>
    <col min="6468" max="6468" customWidth="1" width="8"/>
    <col min="6469" max="6469" customWidth="1" width="8"/>
    <col min="6470" max="6470" customWidth="1" width="8"/>
    <col min="6471" max="6471" customWidth="1" width="8"/>
    <col min="6472" max="6472" customWidth="1" width="8"/>
    <col min="6473" max="6473" customWidth="1" width="8"/>
    <col min="6474" max="6474" customWidth="1" width="8"/>
    <col min="6475" max="6475" customWidth="1" width="8"/>
    <col min="6476" max="6476" customWidth="1" width="8"/>
    <col min="6477" max="6477" customWidth="1" width="8"/>
    <col min="6478" max="6478" customWidth="1" width="8"/>
    <col min="6479" max="6479" customWidth="1" width="8"/>
    <col min="6480" max="6480" customWidth="1" width="8"/>
    <col min="6481" max="6481" customWidth="1" width="8"/>
    <col min="6482" max="6482" customWidth="1" width="8"/>
    <col min="6483" max="6483" customWidth="1" width="8"/>
    <col min="6484" max="6484" customWidth="1" width="8"/>
    <col min="6485" max="6485" customWidth="1" width="8"/>
    <col min="6486" max="6486" customWidth="1" width="8"/>
    <col min="6487" max="6487" customWidth="1" width="8"/>
    <col min="6488" max="6488" customWidth="1" width="8"/>
    <col min="6489" max="6489" customWidth="1" width="8"/>
    <col min="6490" max="6490" customWidth="1" width="8"/>
    <col min="6491" max="6491" customWidth="1" width="8"/>
    <col min="6492" max="6492" customWidth="1" width="8"/>
    <col min="6493" max="6493" customWidth="1" width="8"/>
    <col min="6494" max="6494" customWidth="1" width="8"/>
    <col min="6495" max="6495" customWidth="1" width="8"/>
    <col min="6496" max="6496" customWidth="1" width="8"/>
    <col min="6497" max="6497" customWidth="1" width="8"/>
    <col min="6498" max="6498" customWidth="1" width="8"/>
    <col min="6499" max="6499" customWidth="1" width="8"/>
    <col min="6500" max="6500" customWidth="1" width="8"/>
    <col min="6501" max="6501" customWidth="1" width="8"/>
    <col min="6502" max="6502" customWidth="1" width="8"/>
    <col min="6503" max="6503" customWidth="1" width="8"/>
    <col min="6504" max="6504" customWidth="1" width="8"/>
    <col min="6505" max="6505" customWidth="1" width="8"/>
    <col min="6506" max="6506" customWidth="1" width="8"/>
    <col min="6507" max="6507" customWidth="1" width="8"/>
    <col min="6508" max="6508" customWidth="1" width="8"/>
    <col min="6509" max="6509" customWidth="1" width="8"/>
    <col min="6510" max="6510" customWidth="1" width="8"/>
    <col min="6511" max="6511" customWidth="1" width="8"/>
    <col min="6512" max="6512" customWidth="1" width="8"/>
    <col min="6513" max="6513" customWidth="1" width="8"/>
    <col min="6514" max="6514" customWidth="1" width="8"/>
    <col min="6515" max="6515" customWidth="1" width="8"/>
    <col min="6516" max="6516" customWidth="1" width="8"/>
    <col min="6517" max="6517" customWidth="1" width="8"/>
    <col min="6518" max="6518" customWidth="1" width="8"/>
    <col min="6519" max="6519" customWidth="1" width="8"/>
    <col min="6520" max="6520" customWidth="1" width="8"/>
    <col min="6521" max="6521" customWidth="1" width="8"/>
    <col min="6522" max="6522" customWidth="1" width="8"/>
    <col min="6523" max="6523" customWidth="1" width="8"/>
    <col min="6524" max="6524" customWidth="1" width="8"/>
    <col min="6525" max="6525" customWidth="1" width="8"/>
    <col min="6526" max="6526" customWidth="1" width="8"/>
    <col min="6527" max="6527" customWidth="1" width="8"/>
    <col min="6528" max="6528" customWidth="1" width="8"/>
    <col min="6529" max="6529" customWidth="1" width="8"/>
    <col min="6530" max="6530" customWidth="1" width="8"/>
    <col min="6531" max="6531" customWidth="1" width="8"/>
    <col min="6532" max="6532" customWidth="1" width="8"/>
    <col min="6533" max="6533" customWidth="1" width="8"/>
    <col min="6534" max="6534" customWidth="1" width="8"/>
    <col min="6535" max="6535" customWidth="1" width="8"/>
    <col min="6536" max="6536" customWidth="1" width="8"/>
    <col min="6537" max="6537" customWidth="1" width="8"/>
    <col min="6538" max="6538" customWidth="1" width="8"/>
    <col min="6539" max="6539" customWidth="1" width="8"/>
    <col min="6540" max="6540" customWidth="1" width="8"/>
    <col min="6541" max="6541" customWidth="1" width="8"/>
    <col min="6542" max="6542" customWidth="1" width="8"/>
    <col min="6543" max="6543" customWidth="1" width="8"/>
    <col min="6544" max="6544" customWidth="1" width="8"/>
    <col min="6545" max="6545" customWidth="1" width="8"/>
    <col min="6546" max="6546" customWidth="1" width="8"/>
    <col min="6547" max="6547" customWidth="1" width="8"/>
    <col min="6548" max="6548" customWidth="1" width="8"/>
    <col min="6549" max="6549" customWidth="1" width="8"/>
    <col min="6550" max="6550" customWidth="1" width="8"/>
    <col min="6551" max="6551" customWidth="1" width="8"/>
    <col min="6552" max="6552" customWidth="1" width="8"/>
    <col min="6553" max="6553" customWidth="1" width="8"/>
    <col min="6554" max="6554" customWidth="1" width="8"/>
    <col min="6555" max="6555" customWidth="1" width="8"/>
    <col min="6556" max="6556" customWidth="1" width="8"/>
    <col min="6557" max="6557" customWidth="1" width="8"/>
    <col min="6558" max="6558" customWidth="1" width="8"/>
    <col min="6559" max="6559" customWidth="1" width="8"/>
    <col min="6560" max="6560" customWidth="1" width="8"/>
    <col min="6561" max="6561" customWidth="1" width="8"/>
    <col min="6562" max="6562" customWidth="1" width="8"/>
    <col min="6563" max="6563" customWidth="1" width="8"/>
    <col min="6564" max="6564" customWidth="1" width="8"/>
    <col min="6565" max="6565" customWidth="1" width="8"/>
    <col min="6566" max="6566" customWidth="1" width="8"/>
    <col min="6567" max="6567" customWidth="1" width="8"/>
    <col min="6568" max="6568" customWidth="1" width="8"/>
    <col min="6569" max="6569" customWidth="1" width="8"/>
    <col min="6570" max="6570" customWidth="1" width="8"/>
    <col min="6571" max="6571" customWidth="1" width="8"/>
    <col min="6572" max="6572" customWidth="1" width="8"/>
    <col min="6573" max="6573" customWidth="1" width="8"/>
    <col min="6574" max="6574" customWidth="1" width="8"/>
    <col min="6575" max="6575" customWidth="1" width="8"/>
    <col min="6576" max="6576" customWidth="1" width="8"/>
    <col min="6577" max="6577" customWidth="1" width="8"/>
    <col min="6578" max="6578" customWidth="1" width="8"/>
    <col min="6579" max="6579" customWidth="1" width="8"/>
    <col min="6580" max="6580" customWidth="1" width="8"/>
    <col min="6581" max="6581" customWidth="1" width="8"/>
    <col min="6582" max="6582" customWidth="1" width="8"/>
    <col min="6583" max="6583" customWidth="1" width="8"/>
    <col min="6584" max="6584" customWidth="1" width="8"/>
    <col min="6585" max="6585" customWidth="1" width="8"/>
    <col min="6586" max="6586" customWidth="1" width="8"/>
    <col min="6587" max="6587" customWidth="1" width="8"/>
    <col min="6588" max="6588" customWidth="1" width="8"/>
    <col min="6589" max="6589" customWidth="1" width="8"/>
    <col min="6590" max="6590" customWidth="1" width="8"/>
    <col min="6591" max="6591" customWidth="1" width="8"/>
    <col min="6592" max="6592" customWidth="1" width="8"/>
    <col min="6593" max="6593" customWidth="1" width="8"/>
    <col min="6594" max="6594" customWidth="1" width="8"/>
    <col min="6595" max="6595" customWidth="1" width="8"/>
    <col min="6596" max="6596" customWidth="1" width="8"/>
    <col min="6597" max="6597" customWidth="1" width="8"/>
    <col min="6598" max="6598" customWidth="1" width="8"/>
    <col min="6599" max="6599" customWidth="1" width="8"/>
    <col min="6600" max="6600" customWidth="1" width="8"/>
    <col min="6601" max="6601" customWidth="1" width="8"/>
    <col min="6602" max="6602" customWidth="1" width="8"/>
    <col min="6603" max="6603" customWidth="1" width="8"/>
    <col min="6604" max="6604" customWidth="1" width="8"/>
    <col min="6605" max="6605" customWidth="1" width="8"/>
    <col min="6606" max="6606" customWidth="1" width="8"/>
    <col min="6607" max="6607" customWidth="1" width="8"/>
    <col min="6608" max="6608" customWidth="1" width="8"/>
    <col min="6609" max="6609" customWidth="1" width="8"/>
    <col min="6610" max="6610" customWidth="1" width="8"/>
    <col min="6611" max="6611" customWidth="1" width="8"/>
    <col min="6612" max="6612" customWidth="1" width="8"/>
    <col min="6613" max="6613" customWidth="1" width="8"/>
    <col min="6614" max="6614" customWidth="1" width="8"/>
    <col min="6615" max="6615" customWidth="1" width="8"/>
    <col min="6616" max="6616" customWidth="1" width="8"/>
    <col min="6617" max="6617" customWidth="1" width="8"/>
    <col min="6618" max="6618" customWidth="1" width="8"/>
    <col min="6619" max="6619" customWidth="1" width="8"/>
    <col min="6620" max="6620" customWidth="1" width="8"/>
    <col min="6621" max="6621" customWidth="1" width="8"/>
    <col min="6622" max="6622" customWidth="1" width="8"/>
    <col min="6623" max="6623" customWidth="1" width="8"/>
    <col min="6624" max="6624" customWidth="1" width="8"/>
    <col min="6625" max="6625" customWidth="1" width="8"/>
    <col min="6626" max="6626" customWidth="1" width="8"/>
    <col min="6627" max="6627" customWidth="1" width="8"/>
    <col min="6628" max="6628" customWidth="1" width="8"/>
    <col min="6629" max="6629" customWidth="1" width="8"/>
    <col min="6630" max="6630" customWidth="1" width="8"/>
    <col min="6631" max="6631" customWidth="1" width="8"/>
    <col min="6632" max="6632" customWidth="1" width="8"/>
    <col min="6633" max="6633" customWidth="1" width="8"/>
    <col min="6634" max="6634" customWidth="1" width="8"/>
    <col min="6635" max="6635" customWidth="1" width="8"/>
    <col min="6636" max="6636" customWidth="1" width="8"/>
    <col min="6637" max="6637" customWidth="1" width="8"/>
    <col min="6638" max="6638" customWidth="1" width="8"/>
    <col min="6639" max="6639" customWidth="1" width="8"/>
    <col min="6640" max="6640" customWidth="1" width="8"/>
    <col min="6641" max="6641" customWidth="1" width="8"/>
    <col min="6642" max="6642" customWidth="1" width="8"/>
    <col min="6643" max="6643" customWidth="1" width="8"/>
    <col min="6644" max="6644" customWidth="1" width="8"/>
    <col min="6645" max="6645" customWidth="1" width="8"/>
    <col min="6646" max="6646" customWidth="1" width="8"/>
    <col min="6647" max="6647" customWidth="1" width="8"/>
    <col min="6648" max="6648" customWidth="1" width="8"/>
    <col min="6649" max="6649" customWidth="1" width="8"/>
    <col min="6650" max="6650" customWidth="1" width="8"/>
    <col min="6651" max="6651" customWidth="1" width="8"/>
    <col min="6652" max="6652" customWidth="1" width="8"/>
    <col min="6653" max="6653" customWidth="1" width="8"/>
    <col min="6654" max="6654" customWidth="1" width="8"/>
    <col min="6655" max="6655" customWidth="1" width="8"/>
    <col min="6656" max="6656" customWidth="1" width="8"/>
    <col min="6657" max="6657" customWidth="1" width="8"/>
    <col min="6658" max="6658" customWidth="1" width="8"/>
    <col min="6659" max="6659" customWidth="1" width="8"/>
    <col min="6660" max="6660" customWidth="1" width="8"/>
    <col min="6661" max="6661" customWidth="1" width="8"/>
    <col min="6662" max="6662" customWidth="1" width="8"/>
    <col min="6663" max="6663" customWidth="1" width="8"/>
    <col min="6664" max="6664" customWidth="1" width="8"/>
    <col min="6665" max="6665" customWidth="1" width="8"/>
    <col min="6666" max="6666" customWidth="1" width="8"/>
    <col min="6667" max="6667" customWidth="1" width="8"/>
    <col min="6668" max="6668" customWidth="1" width="8"/>
    <col min="6669" max="6669" customWidth="1" width="8"/>
    <col min="6670" max="6670" customWidth="1" width="8"/>
    <col min="6671" max="6671" customWidth="1" width="8"/>
    <col min="6672" max="6672" customWidth="1" width="8"/>
    <col min="6673" max="6673" customWidth="1" width="8"/>
    <col min="6674" max="6674" customWidth="1" width="8"/>
    <col min="6675" max="6675" customWidth="1" width="8"/>
    <col min="6676" max="6676" customWidth="1" width="8"/>
    <col min="6677" max="6677" customWidth="1" width="8"/>
    <col min="6678" max="6678" customWidth="1" width="8"/>
    <col min="6679" max="6679" customWidth="1" width="8"/>
    <col min="6680" max="6680" customWidth="1" width="8"/>
    <col min="6681" max="6681" customWidth="1" width="8"/>
    <col min="6682" max="6682" customWidth="1" width="8"/>
    <col min="6683" max="6683" customWidth="1" width="8"/>
    <col min="6684" max="6684" customWidth="1" width="8"/>
    <col min="6685" max="6685" customWidth="1" width="8"/>
    <col min="6686" max="6686" customWidth="1" width="8"/>
    <col min="6687" max="6687" customWidth="1" width="8"/>
    <col min="6688" max="6688" customWidth="1" width="8"/>
    <col min="6689" max="6689" customWidth="1" width="8"/>
    <col min="6690" max="6690" customWidth="1" width="8"/>
    <col min="6691" max="6691" customWidth="1" width="8"/>
    <col min="6692" max="6692" customWidth="1" width="8"/>
    <col min="6693" max="6693" customWidth="1" width="8"/>
    <col min="6694" max="6694" customWidth="1" width="8"/>
    <col min="6695" max="6695" customWidth="1" width="8"/>
    <col min="6696" max="6696" customWidth="1" width="8"/>
    <col min="6697" max="6697" customWidth="1" width="8"/>
    <col min="6698" max="6698" customWidth="1" width="8"/>
    <col min="6699" max="6699" customWidth="1" width="8"/>
    <col min="6700" max="6700" customWidth="1" width="8"/>
    <col min="6701" max="6701" customWidth="1" width="8"/>
    <col min="6702" max="6702" customWidth="1" width="8"/>
    <col min="6703" max="6703" customWidth="1" width="8"/>
    <col min="6704" max="6704" customWidth="1" width="8"/>
    <col min="6705" max="6705" customWidth="1" width="8"/>
    <col min="6706" max="6706" customWidth="1" width="8"/>
    <col min="6707" max="6707" customWidth="1" width="8"/>
    <col min="6708" max="6708" customWidth="1" width="8"/>
    <col min="6709" max="6709" customWidth="1" width="8"/>
    <col min="6710" max="6710" customWidth="1" width="8"/>
    <col min="6711" max="6711" customWidth="1" width="8"/>
    <col min="6712" max="6712" customWidth="1" width="8"/>
    <col min="6713" max="6713" customWidth="1" width="8"/>
    <col min="6714" max="6714" customWidth="1" width="8"/>
    <col min="6715" max="6715" customWidth="1" width="8"/>
    <col min="6716" max="6716" customWidth="1" width="8"/>
    <col min="6717" max="6717" customWidth="1" width="8"/>
    <col min="6718" max="6718" customWidth="1" width="8"/>
    <col min="6719" max="6719" customWidth="1" width="8"/>
    <col min="6720" max="6720" customWidth="1" width="8"/>
    <col min="6721" max="6721" customWidth="1" width="8"/>
    <col min="6722" max="6722" customWidth="1" width="8"/>
    <col min="6723" max="6723" customWidth="1" width="8"/>
    <col min="6724" max="6724" customWidth="1" width="8"/>
    <col min="6725" max="6725" customWidth="1" width="8"/>
    <col min="6726" max="6726" customWidth="1" width="8"/>
    <col min="6727" max="6727" customWidth="1" width="8"/>
    <col min="6728" max="6728" customWidth="1" width="8"/>
    <col min="6729" max="6729" customWidth="1" width="8"/>
    <col min="6730" max="6730" customWidth="1" width="8"/>
    <col min="6731" max="6731" customWidth="1" width="8"/>
    <col min="6732" max="6732" customWidth="1" width="8"/>
    <col min="6733" max="6733" customWidth="1" width="8"/>
    <col min="6734" max="6734" customWidth="1" width="8"/>
    <col min="6735" max="6735" customWidth="1" width="8"/>
    <col min="6736" max="6736" customWidth="1" width="8"/>
    <col min="6737" max="6737" customWidth="1" width="8"/>
    <col min="6738" max="6738" customWidth="1" width="8"/>
    <col min="6739" max="6739" customWidth="1" width="8"/>
    <col min="6740" max="6740" customWidth="1" width="8"/>
    <col min="6741" max="6741" customWidth="1" width="8"/>
    <col min="6742" max="6742" customWidth="1" width="8"/>
    <col min="6743" max="6743" customWidth="1" width="8"/>
    <col min="6744" max="6744" customWidth="1" width="8"/>
    <col min="6745" max="6745" customWidth="1" width="8"/>
    <col min="6746" max="6746" customWidth="1" width="8"/>
    <col min="6747" max="6747" customWidth="1" width="8"/>
    <col min="6748" max="6748" customWidth="1" width="8"/>
    <col min="6749" max="6749" customWidth="1" width="8"/>
    <col min="6750" max="6750" customWidth="1" width="8"/>
    <col min="6751" max="6751" customWidth="1" width="8"/>
    <col min="6752" max="6752" customWidth="1" width="8"/>
    <col min="6753" max="6753" customWidth="1" width="8"/>
    <col min="6754" max="6754" customWidth="1" width="8"/>
    <col min="6755" max="6755" customWidth="1" width="8"/>
    <col min="6756" max="6756" customWidth="1" width="8"/>
    <col min="6757" max="6757" customWidth="1" width="8"/>
    <col min="6758" max="6758" customWidth="1" width="8"/>
    <col min="6759" max="6759" customWidth="1" width="8"/>
    <col min="6760" max="6760" customWidth="1" width="8"/>
    <col min="6761" max="6761" customWidth="1" width="8"/>
    <col min="6762" max="6762" customWidth="1" width="8"/>
    <col min="6763" max="6763" customWidth="1" width="8"/>
    <col min="6764" max="6764" customWidth="1" width="8"/>
    <col min="6765" max="6765" customWidth="1" width="8"/>
    <col min="6766" max="6766" customWidth="1" width="8"/>
    <col min="6767" max="6767" customWidth="1" width="8"/>
    <col min="6768" max="6768" customWidth="1" width="8"/>
    <col min="6769" max="6769" customWidth="1" width="8"/>
    <col min="6770" max="6770" customWidth="1" width="8"/>
    <col min="6771" max="6771" customWidth="1" width="8"/>
    <col min="6772" max="6772" customWidth="1" width="8"/>
    <col min="6773" max="6773" customWidth="1" width="8"/>
    <col min="6774" max="6774" customWidth="1" width="8"/>
    <col min="6775" max="6775" customWidth="1" width="8"/>
    <col min="6776" max="6776" customWidth="1" width="8"/>
    <col min="6777" max="6777" customWidth="1" width="8"/>
    <col min="6778" max="6778" customWidth="1" width="8"/>
    <col min="6779" max="6779" customWidth="1" width="8"/>
    <col min="6780" max="6780" customWidth="1" width="8"/>
    <col min="6781" max="6781" customWidth="1" width="8"/>
    <col min="6782" max="6782" customWidth="1" width="8"/>
    <col min="6783" max="6783" customWidth="1" width="8"/>
    <col min="6784" max="6784" customWidth="1" width="8"/>
    <col min="6785" max="6785" customWidth="1" width="8"/>
    <col min="6786" max="6786" customWidth="1" width="8"/>
    <col min="6787" max="6787" customWidth="1" width="8"/>
    <col min="6788" max="6788" customWidth="1" width="8"/>
    <col min="6789" max="6789" customWidth="1" width="8"/>
    <col min="6790" max="6790" customWidth="1" width="8"/>
    <col min="6791" max="6791" customWidth="1" width="8"/>
    <col min="6792" max="6792" customWidth="1" width="8"/>
    <col min="6793" max="6793" customWidth="1" width="8"/>
    <col min="6794" max="6794" customWidth="1" width="8"/>
    <col min="6795" max="6795" customWidth="1" width="8"/>
    <col min="6796" max="6796" customWidth="1" width="8"/>
    <col min="6797" max="6797" customWidth="1" width="8"/>
    <col min="6798" max="6798" customWidth="1" width="8"/>
    <col min="6799" max="6799" customWidth="1" width="8"/>
    <col min="6800" max="6800" customWidth="1" width="8"/>
    <col min="6801" max="6801" customWidth="1" width="8"/>
    <col min="6802" max="6802" customWidth="1" width="8"/>
    <col min="6803" max="6803" customWidth="1" width="8"/>
    <col min="6804" max="6804" customWidth="1" width="8"/>
    <col min="6805" max="6805" customWidth="1" width="8"/>
    <col min="6806" max="6806" customWidth="1" width="8"/>
    <col min="6807" max="6807" customWidth="1" width="8"/>
    <col min="6808" max="6808" customWidth="1" width="8"/>
    <col min="6809" max="6809" customWidth="1" width="8"/>
    <col min="6810" max="6810" customWidth="1" width="8"/>
    <col min="6811" max="6811" customWidth="1" width="8"/>
    <col min="6812" max="6812" customWidth="1" width="8"/>
    <col min="6813" max="6813" customWidth="1" width="8"/>
    <col min="6814" max="6814" customWidth="1" width="8"/>
    <col min="6815" max="6815" customWidth="1" width="8"/>
    <col min="6816" max="6816" customWidth="1" width="8"/>
    <col min="6817" max="6817" customWidth="1" width="8"/>
    <col min="6818" max="6818" customWidth="1" width="8"/>
    <col min="6819" max="6819" customWidth="1" width="8"/>
    <col min="6820" max="6820" customWidth="1" width="8"/>
    <col min="6821" max="6821" customWidth="1" width="8"/>
    <col min="6822" max="6822" customWidth="1" width="8"/>
    <col min="6823" max="6823" customWidth="1" width="8"/>
    <col min="6824" max="6824" customWidth="1" width="8"/>
    <col min="6825" max="6825" customWidth="1" width="8"/>
    <col min="6826" max="6826" customWidth="1" width="8"/>
    <col min="6827" max="6827" customWidth="1" width="8"/>
    <col min="6828" max="6828" customWidth="1" width="8"/>
    <col min="6829" max="6829" customWidth="1" width="8"/>
    <col min="6830" max="6830" customWidth="1" width="8"/>
    <col min="6831" max="6831" customWidth="1" width="8"/>
    <col min="6832" max="6832" customWidth="1" width="8"/>
    <col min="6833" max="6833" customWidth="1" width="8"/>
    <col min="6834" max="6834" customWidth="1" width="8"/>
    <col min="6835" max="6835" customWidth="1" width="8"/>
    <col min="6836" max="6836" customWidth="1" width="8"/>
    <col min="6837" max="6837" customWidth="1" width="8"/>
    <col min="6838" max="6838" customWidth="1" width="8"/>
    <col min="6839" max="6839" customWidth="1" width="8"/>
    <col min="6840" max="6840" customWidth="1" width="8"/>
    <col min="6841" max="6841" customWidth="1" width="8"/>
    <col min="6842" max="6842" customWidth="1" width="8"/>
    <col min="6843" max="6843" customWidth="1" width="8"/>
    <col min="6844" max="6844" customWidth="1" width="8"/>
    <col min="6845" max="6845" customWidth="1" width="8"/>
    <col min="6846" max="6846" customWidth="1" width="8"/>
    <col min="6847" max="6847" customWidth="1" width="8"/>
    <col min="6848" max="6848" customWidth="1" width="8"/>
    <col min="6849" max="6849" customWidth="1" width="8"/>
    <col min="6850" max="6850" customWidth="1" width="8"/>
    <col min="6851" max="6851" customWidth="1" width="8"/>
    <col min="6852" max="6852" customWidth="1" width="8"/>
    <col min="6853" max="6853" customWidth="1" width="8"/>
    <col min="6854" max="6854" customWidth="1" width="8"/>
    <col min="6855" max="6855" customWidth="1" width="8"/>
    <col min="6856" max="6856" customWidth="1" width="8"/>
    <col min="6857" max="6857" customWidth="1" width="8"/>
    <col min="6858" max="6858" customWidth="1" width="8"/>
    <col min="6859" max="6859" customWidth="1" width="8"/>
    <col min="6860" max="6860" customWidth="1" width="8"/>
    <col min="6861" max="6861" customWidth="1" width="8"/>
    <col min="6862" max="6862" customWidth="1" width="8"/>
    <col min="6863" max="6863" customWidth="1" width="8"/>
    <col min="6864" max="6864" customWidth="1" width="8"/>
    <col min="6865" max="6865" customWidth="1" width="8"/>
    <col min="6866" max="6866" customWidth="1" width="8"/>
    <col min="6867" max="6867" customWidth="1" width="8"/>
    <col min="6868" max="6868" customWidth="1" width="8"/>
    <col min="6869" max="6869" customWidth="1" width="8"/>
    <col min="6870" max="6870" customWidth="1" width="8"/>
    <col min="6871" max="6871" customWidth="1" width="8"/>
    <col min="6872" max="6872" customWidth="1" width="8"/>
    <col min="6873" max="6873" customWidth="1" width="8"/>
    <col min="6874" max="6874" customWidth="1" width="8"/>
    <col min="6875" max="6875" customWidth="1" width="8"/>
    <col min="6876" max="6876" customWidth="1" width="8"/>
    <col min="6877" max="6877" customWidth="1" width="8"/>
    <col min="6878" max="6878" customWidth="1" width="8"/>
    <col min="6879" max="6879" customWidth="1" width="8"/>
    <col min="6880" max="6880" customWidth="1" width="8"/>
    <col min="6881" max="6881" customWidth="1" width="8"/>
    <col min="6882" max="6882" customWidth="1" width="8"/>
    <col min="6883" max="6883" customWidth="1" width="8"/>
    <col min="6884" max="6884" customWidth="1" width="8"/>
    <col min="6885" max="6885" customWidth="1" width="8"/>
    <col min="6886" max="6886" customWidth="1" width="8"/>
    <col min="6887" max="6887" customWidth="1" width="8"/>
    <col min="6888" max="6888" customWidth="1" width="8"/>
    <col min="6889" max="6889" customWidth="1" width="8"/>
    <col min="6890" max="6890" customWidth="1" width="8"/>
    <col min="6891" max="6891" customWidth="1" width="8"/>
    <col min="6892" max="6892" customWidth="1" width="8"/>
    <col min="6893" max="6893" customWidth="1" width="8"/>
    <col min="6894" max="6894" customWidth="1" width="8"/>
    <col min="6895" max="6895" customWidth="1" width="8"/>
    <col min="6896" max="6896" customWidth="1" width="8"/>
    <col min="6897" max="6897" customWidth="1" width="8"/>
    <col min="6898" max="6898" customWidth="1" width="8"/>
    <col min="6899" max="6899" customWidth="1" width="8"/>
    <col min="6900" max="6900" customWidth="1" width="8"/>
    <col min="6901" max="6901" customWidth="1" width="8"/>
    <col min="6902" max="6902" customWidth="1" width="8"/>
    <col min="6903" max="6903" customWidth="1" width="8"/>
    <col min="6904" max="6904" customWidth="1" width="8"/>
    <col min="6905" max="6905" customWidth="1" width="8"/>
    <col min="6906" max="6906" customWidth="1" width="8"/>
    <col min="6907" max="6907" customWidth="1" width="8"/>
    <col min="6908" max="6908" customWidth="1" width="8"/>
    <col min="6909" max="6909" customWidth="1" width="8"/>
    <col min="6910" max="6910" customWidth="1" width="8"/>
    <col min="6911" max="6911" customWidth="1" width="8"/>
    <col min="6912" max="6912" customWidth="1" width="8"/>
    <col min="6913" max="6913" customWidth="1" width="8"/>
    <col min="6914" max="6914" customWidth="1" width="8"/>
    <col min="6915" max="6915" customWidth="1" width="8"/>
    <col min="6916" max="6916" customWidth="1" width="8"/>
    <col min="6917" max="6917" customWidth="1" width="8"/>
    <col min="6918" max="6918" customWidth="1" width="8"/>
    <col min="6919" max="6919" customWidth="1" width="8"/>
    <col min="6920" max="6920" customWidth="1" width="8"/>
    <col min="6921" max="6921" customWidth="1" width="8"/>
    <col min="6922" max="6922" customWidth="1" width="8"/>
    <col min="6923" max="6923" customWidth="1" width="8"/>
    <col min="6924" max="6924" customWidth="1" width="8"/>
    <col min="6925" max="6925" customWidth="1" width="8"/>
    <col min="6926" max="6926" customWidth="1" width="8"/>
    <col min="6927" max="6927" customWidth="1" width="8"/>
    <col min="6928" max="6928" customWidth="1" width="8"/>
    <col min="6929" max="6929" customWidth="1" width="8"/>
    <col min="6930" max="6930" customWidth="1" width="8"/>
    <col min="6931" max="6931" customWidth="1" width="8"/>
    <col min="6932" max="6932" customWidth="1" width="8"/>
    <col min="6933" max="6933" customWidth="1" width="8"/>
    <col min="6934" max="6934" customWidth="1" width="8"/>
    <col min="6935" max="6935" customWidth="1" width="8"/>
    <col min="6936" max="6936" customWidth="1" width="8"/>
    <col min="6937" max="6937" customWidth="1" width="8"/>
    <col min="6938" max="6938" customWidth="1" width="8"/>
    <col min="6939" max="6939" customWidth="1" width="8"/>
    <col min="6940" max="6940" customWidth="1" width="8"/>
    <col min="6941" max="6941" customWidth="1" width="8"/>
    <col min="6942" max="6942" customWidth="1" width="8"/>
    <col min="6943" max="6943" customWidth="1" width="8"/>
    <col min="6944" max="6944" customWidth="1" width="8"/>
    <col min="6945" max="6945" customWidth="1" width="8"/>
    <col min="6946" max="6946" customWidth="1" width="8"/>
    <col min="6947" max="6947" customWidth="1" width="8"/>
    <col min="6948" max="6948" customWidth="1" width="8"/>
    <col min="6949" max="6949" customWidth="1" width="8"/>
    <col min="6950" max="6950" customWidth="1" width="8"/>
    <col min="6951" max="6951" customWidth="1" width="8"/>
    <col min="6952" max="6952" customWidth="1" width="8"/>
    <col min="6953" max="6953" customWidth="1" width="8"/>
    <col min="6954" max="6954" customWidth="1" width="8"/>
    <col min="6955" max="6955" customWidth="1" width="8"/>
    <col min="6956" max="6956" customWidth="1" width="8"/>
    <col min="6957" max="6957" customWidth="1" width="8"/>
    <col min="6958" max="6958" customWidth="1" width="8"/>
    <col min="6959" max="6959" customWidth="1" width="8"/>
    <col min="6960" max="6960" customWidth="1" width="8"/>
    <col min="6961" max="6961" customWidth="1" width="8"/>
    <col min="6962" max="6962" customWidth="1" width="8"/>
    <col min="6963" max="6963" customWidth="1" width="8"/>
    <col min="6964" max="6964" customWidth="1" width="8"/>
    <col min="6965" max="6965" customWidth="1" width="8"/>
    <col min="6966" max="6966" customWidth="1" width="8"/>
    <col min="6967" max="6967" customWidth="1" width="8"/>
    <col min="6968" max="6968" customWidth="1" width="8"/>
    <col min="6969" max="6969" customWidth="1" width="8"/>
    <col min="6970" max="6970" customWidth="1" width="8"/>
    <col min="6971" max="6971" customWidth="1" width="8"/>
    <col min="6972" max="6972" customWidth="1" width="8"/>
    <col min="6973" max="6973" customWidth="1" width="8"/>
    <col min="6974" max="6974" customWidth="1" width="8"/>
    <col min="6975" max="6975" customWidth="1" width="8"/>
    <col min="6976" max="6976" customWidth="1" width="8"/>
    <col min="6977" max="6977" customWidth="1" width="8"/>
    <col min="6978" max="6978" customWidth="1" width="8"/>
    <col min="6979" max="6979" customWidth="1" width="8"/>
    <col min="6980" max="6980" customWidth="1" width="8"/>
    <col min="6981" max="6981" customWidth="1" width="8"/>
    <col min="6982" max="6982" customWidth="1" width="8"/>
    <col min="6983" max="6983" customWidth="1" width="8"/>
    <col min="6984" max="6984" customWidth="1" width="8"/>
    <col min="6985" max="6985" customWidth="1" width="8"/>
    <col min="6986" max="6986" customWidth="1" width="8"/>
    <col min="6987" max="6987" customWidth="1" width="8"/>
    <col min="6988" max="6988" customWidth="1" width="8"/>
    <col min="6989" max="6989" customWidth="1" width="8"/>
    <col min="6990" max="6990" customWidth="1" width="8"/>
    <col min="6991" max="6991" customWidth="1" width="8"/>
    <col min="6992" max="6992" customWidth="1" width="8"/>
    <col min="6993" max="6993" customWidth="1" width="8"/>
    <col min="6994" max="6994" customWidth="1" width="8"/>
    <col min="6995" max="6995" customWidth="1" width="8"/>
    <col min="6996" max="6996" customWidth="1" width="8"/>
    <col min="6997" max="6997" customWidth="1" width="8"/>
    <col min="6998" max="6998" customWidth="1" width="8"/>
    <col min="6999" max="6999" customWidth="1" width="8"/>
    <col min="7000" max="7000" customWidth="1" width="8"/>
    <col min="7001" max="7001" customWidth="1" width="8"/>
    <col min="7002" max="7002" customWidth="1" width="8"/>
    <col min="7003" max="7003" customWidth="1" width="8"/>
    <col min="7004" max="7004" customWidth="1" width="8"/>
    <col min="7005" max="7005" customWidth="1" width="8"/>
    <col min="7006" max="7006" customWidth="1" width="8"/>
    <col min="7007" max="7007" customWidth="1" width="8"/>
    <col min="7008" max="7008" customWidth="1" width="8"/>
    <col min="7009" max="7009" customWidth="1" width="8"/>
    <col min="7010" max="7010" customWidth="1" width="8"/>
    <col min="7011" max="7011" customWidth="1" width="8"/>
    <col min="7012" max="7012" customWidth="1" width="8"/>
    <col min="7013" max="7013" customWidth="1" width="8"/>
    <col min="7014" max="7014" customWidth="1" width="8"/>
    <col min="7015" max="7015" customWidth="1" width="8"/>
    <col min="7016" max="7016" customWidth="1" width="8"/>
    <col min="7017" max="7017" customWidth="1" width="8"/>
    <col min="7018" max="7018" customWidth="1" width="8"/>
    <col min="7019" max="7019" customWidth="1" width="8"/>
    <col min="7020" max="7020" customWidth="1" width="8"/>
    <col min="7021" max="7021" customWidth="1" width="8"/>
    <col min="7022" max="7022" customWidth="1" width="8"/>
    <col min="7023" max="7023" customWidth="1" width="8"/>
    <col min="7024" max="7024" customWidth="1" width="8"/>
    <col min="7025" max="7025" customWidth="1" width="8"/>
    <col min="7026" max="7026" customWidth="1" width="8"/>
    <col min="7027" max="7027" customWidth="1" width="8"/>
    <col min="7028" max="7028" customWidth="1" width="8"/>
    <col min="7029" max="7029" customWidth="1" width="8"/>
    <col min="7030" max="7030" customWidth="1" width="8"/>
    <col min="7031" max="7031" customWidth="1" width="8"/>
    <col min="7032" max="7032" customWidth="1" width="8"/>
    <col min="7033" max="7033" customWidth="1" width="8"/>
    <col min="7034" max="7034" customWidth="1" width="8"/>
    <col min="7035" max="7035" customWidth="1" width="8"/>
    <col min="7036" max="7036" customWidth="1" width="8"/>
    <col min="7037" max="7037" customWidth="1" width="8"/>
    <col min="7038" max="7038" customWidth="1" width="8"/>
    <col min="7039" max="7039" customWidth="1" width="8"/>
    <col min="7040" max="7040" customWidth="1" width="8"/>
    <col min="7041" max="7041" customWidth="1" width="8"/>
    <col min="7042" max="7042" customWidth="1" width="8"/>
    <col min="7043" max="7043" customWidth="1" width="8"/>
    <col min="7044" max="7044" customWidth="1" width="8"/>
    <col min="7045" max="7045" customWidth="1" width="8"/>
    <col min="7046" max="7046" customWidth="1" width="8"/>
    <col min="7047" max="7047" customWidth="1" width="8"/>
    <col min="7048" max="7048" customWidth="1" width="8"/>
    <col min="7049" max="7049" customWidth="1" width="8"/>
    <col min="7050" max="7050" customWidth="1" width="8"/>
    <col min="7051" max="7051" customWidth="1" width="8"/>
    <col min="7052" max="7052" customWidth="1" width="8"/>
    <col min="7053" max="7053" customWidth="1" width="8"/>
    <col min="7054" max="7054" customWidth="1" width="8"/>
    <col min="7055" max="7055" customWidth="1" width="8"/>
    <col min="7056" max="7056" customWidth="1" width="8"/>
    <col min="7057" max="7057" customWidth="1" width="8"/>
    <col min="7058" max="7058" customWidth="1" width="8"/>
    <col min="7059" max="7059" customWidth="1" width="8"/>
    <col min="7060" max="7060" customWidth="1" width="8"/>
    <col min="7061" max="7061" customWidth="1" width="8"/>
    <col min="7062" max="7062" customWidth="1" width="8"/>
    <col min="7063" max="7063" customWidth="1" width="8"/>
    <col min="7064" max="7064" customWidth="1" width="8"/>
    <col min="7065" max="7065" customWidth="1" width="8"/>
    <col min="7066" max="7066" customWidth="1" width="8"/>
    <col min="7067" max="7067" customWidth="1" width="8"/>
    <col min="7068" max="7068" customWidth="1" width="8"/>
    <col min="7069" max="7069" customWidth="1" width="8"/>
    <col min="7070" max="7070" customWidth="1" width="8"/>
    <col min="7071" max="7071" customWidth="1" width="8"/>
    <col min="7072" max="7072" customWidth="1" width="8"/>
    <col min="7073" max="7073" customWidth="1" width="8"/>
    <col min="7074" max="7074" customWidth="1" width="8"/>
    <col min="7075" max="7075" customWidth="1" width="8"/>
    <col min="7076" max="7076" customWidth="1" width="8"/>
    <col min="7077" max="7077" customWidth="1" width="8"/>
    <col min="7078" max="7078" customWidth="1" width="8"/>
    <col min="7079" max="7079" customWidth="1" width="8"/>
    <col min="7080" max="7080" customWidth="1" width="8"/>
    <col min="7081" max="7081" customWidth="1" width="8"/>
    <col min="7082" max="7082" customWidth="1" width="8"/>
    <col min="7083" max="7083" customWidth="1" width="8"/>
    <col min="7084" max="7084" customWidth="1" width="8"/>
    <col min="7085" max="7085" customWidth="1" width="8"/>
    <col min="7086" max="7086" customWidth="1" width="8"/>
    <col min="7087" max="7087" customWidth="1" width="8"/>
    <col min="7088" max="7088" customWidth="1" width="8"/>
    <col min="7089" max="7089" customWidth="1" width="8"/>
    <col min="7090" max="7090" customWidth="1" width="8"/>
    <col min="7091" max="7091" customWidth="1" width="8"/>
    <col min="7092" max="7092" customWidth="1" width="8"/>
    <col min="7093" max="7093" customWidth="1" width="8"/>
    <col min="7094" max="7094" customWidth="1" width="8"/>
    <col min="7095" max="7095" customWidth="1" width="8"/>
    <col min="7096" max="7096" customWidth="1" width="8"/>
    <col min="7097" max="7097" customWidth="1" width="8"/>
    <col min="7098" max="7098" customWidth="1" width="8"/>
    <col min="7099" max="7099" customWidth="1" width="8"/>
    <col min="7100" max="7100" customWidth="1" width="8"/>
    <col min="7101" max="7101" customWidth="1" width="8"/>
    <col min="7102" max="7102" customWidth="1" width="8"/>
    <col min="7103" max="7103" customWidth="1" width="8"/>
    <col min="7104" max="7104" customWidth="1" width="8"/>
    <col min="7105" max="7105" customWidth="1" width="8"/>
    <col min="7106" max="7106" customWidth="1" width="8"/>
    <col min="7107" max="7107" customWidth="1" width="8"/>
    <col min="7108" max="7108" customWidth="1" width="8"/>
    <col min="7109" max="7109" customWidth="1" width="8"/>
    <col min="7110" max="7110" customWidth="1" width="8"/>
    <col min="7111" max="7111" customWidth="1" width="8"/>
    <col min="7112" max="7112" customWidth="1" width="8"/>
    <col min="7113" max="7113" customWidth="1" width="8"/>
    <col min="7114" max="7114" customWidth="1" width="8"/>
    <col min="7115" max="7115" customWidth="1" width="8"/>
    <col min="7116" max="7116" customWidth="1" width="8"/>
    <col min="7117" max="7117" customWidth="1" width="8"/>
    <col min="7118" max="7118" customWidth="1" width="8"/>
    <col min="7119" max="7119" customWidth="1" width="8"/>
    <col min="7120" max="7120" customWidth="1" width="8"/>
    <col min="7121" max="7121" customWidth="1" width="8"/>
    <col min="7122" max="7122" customWidth="1" width="8"/>
    <col min="7123" max="7123" customWidth="1" width="8"/>
    <col min="7124" max="7124" customWidth="1" width="8"/>
    <col min="7125" max="7125" customWidth="1" width="8"/>
    <col min="7126" max="7126" customWidth="1" width="8"/>
    <col min="7127" max="7127" customWidth="1" width="8"/>
    <col min="7128" max="7128" customWidth="1" width="8"/>
    <col min="7129" max="7129" customWidth="1" width="8"/>
    <col min="7130" max="7130" customWidth="1" width="8"/>
    <col min="7131" max="7131" customWidth="1" width="8"/>
    <col min="7132" max="7132" customWidth="1" width="8"/>
    <col min="7133" max="7133" customWidth="1" width="8"/>
    <col min="7134" max="7134" customWidth="1" width="8"/>
    <col min="7135" max="7135" customWidth="1" width="8"/>
    <col min="7136" max="7136" customWidth="1" width="8"/>
    <col min="7137" max="7137" customWidth="1" width="8"/>
    <col min="7138" max="7138" customWidth="1" width="8"/>
    <col min="7139" max="7139" customWidth="1" width="8"/>
    <col min="7140" max="7140" customWidth="1" width="8"/>
    <col min="7141" max="7141" customWidth="1" width="8"/>
    <col min="7142" max="7142" customWidth="1" width="8"/>
    <col min="7143" max="7143" customWidth="1" width="8"/>
    <col min="7144" max="7144" customWidth="1" width="8"/>
    <col min="7145" max="7145" customWidth="1" width="8"/>
    <col min="7146" max="7146" customWidth="1" width="8"/>
    <col min="7147" max="7147" customWidth="1" width="8"/>
    <col min="7148" max="7148" customWidth="1" width="8"/>
    <col min="7149" max="7149" customWidth="1" width="8"/>
    <col min="7150" max="7150" customWidth="1" width="8"/>
    <col min="7151" max="7151" customWidth="1" width="8"/>
    <col min="7152" max="7152" customWidth="1" width="8"/>
    <col min="7153" max="7153" customWidth="1" width="8"/>
    <col min="7154" max="7154" customWidth="1" width="8"/>
    <col min="7155" max="7155" customWidth="1" width="8"/>
    <col min="7156" max="7156" customWidth="1" width="8"/>
    <col min="7157" max="7157" customWidth="1" width="8"/>
    <col min="7158" max="7158" customWidth="1" width="8"/>
    <col min="7159" max="7159" customWidth="1" width="8"/>
    <col min="7160" max="7160" customWidth="1" width="8"/>
    <col min="7161" max="7161" customWidth="1" width="8"/>
    <col min="7162" max="7162" customWidth="1" width="8"/>
    <col min="7163" max="7163" customWidth="1" width="8"/>
    <col min="7164" max="7164" customWidth="1" width="8"/>
    <col min="7165" max="7165" customWidth="1" width="8"/>
    <col min="7166" max="7166" customWidth="1" width="8"/>
    <col min="7167" max="7167" customWidth="1" width="8"/>
    <col min="7168" max="7168" customWidth="1" width="8"/>
    <col min="7169" max="7169" customWidth="1" width="8"/>
    <col min="7170" max="7170" customWidth="1" width="8"/>
    <col min="7171" max="7171" customWidth="1" width="8"/>
    <col min="7172" max="7172" customWidth="1" width="8"/>
    <col min="7173" max="7173" customWidth="1" width="8"/>
    <col min="7174" max="7174" customWidth="1" width="8"/>
    <col min="7175" max="7175" customWidth="1" width="8"/>
    <col min="7176" max="7176" customWidth="1" width="8"/>
    <col min="7177" max="7177" customWidth="1" width="8"/>
    <col min="7178" max="7178" customWidth="1" width="8"/>
    <col min="7179" max="7179" customWidth="1" width="8"/>
    <col min="7180" max="7180" customWidth="1" width="8"/>
    <col min="7181" max="7181" customWidth="1" width="8"/>
    <col min="7182" max="7182" customWidth="1" width="8"/>
    <col min="7183" max="7183" customWidth="1" width="8"/>
    <col min="7184" max="7184" customWidth="1" width="8"/>
    <col min="7185" max="7185" customWidth="1" width="8"/>
    <col min="7186" max="7186" customWidth="1" width="8"/>
    <col min="7187" max="7187" customWidth="1" width="8"/>
    <col min="7188" max="7188" customWidth="1" width="8"/>
    <col min="7189" max="7189" customWidth="1" width="8"/>
    <col min="7190" max="7190" customWidth="1" width="8"/>
    <col min="7191" max="7191" customWidth="1" width="8"/>
    <col min="7192" max="7192" customWidth="1" width="8"/>
    <col min="7193" max="7193" customWidth="1" width="8"/>
    <col min="7194" max="7194" customWidth="1" width="8"/>
    <col min="7195" max="7195" customWidth="1" width="8"/>
    <col min="7196" max="7196" customWidth="1" width="8"/>
    <col min="7197" max="7197" customWidth="1" width="8"/>
    <col min="7198" max="7198" customWidth="1" width="8"/>
    <col min="7199" max="7199" customWidth="1" width="8"/>
    <col min="7200" max="7200" customWidth="1" width="8"/>
    <col min="7201" max="7201" customWidth="1" width="8"/>
    <col min="7202" max="7202" customWidth="1" width="8"/>
    <col min="7203" max="7203" customWidth="1" width="8"/>
    <col min="7204" max="7204" customWidth="1" width="8"/>
    <col min="7205" max="7205" customWidth="1" width="8"/>
    <col min="7206" max="7206" customWidth="1" width="8"/>
    <col min="7207" max="7207" customWidth="1" width="8"/>
    <col min="7208" max="7208" customWidth="1" width="8"/>
    <col min="7209" max="7209" customWidth="1" width="8"/>
    <col min="7210" max="7210" customWidth="1" width="8"/>
    <col min="7211" max="7211" customWidth="1" width="8"/>
    <col min="7212" max="7212" customWidth="1" width="8"/>
    <col min="7213" max="7213" customWidth="1" width="8"/>
    <col min="7214" max="7214" customWidth="1" width="8"/>
    <col min="7215" max="7215" customWidth="1" width="8"/>
    <col min="7216" max="7216" customWidth="1" width="8"/>
    <col min="7217" max="7217" customWidth="1" width="8"/>
    <col min="7218" max="7218" customWidth="1" width="8"/>
    <col min="7219" max="7219" customWidth="1" width="8"/>
    <col min="7220" max="7220" customWidth="1" width="8"/>
    <col min="7221" max="7221" customWidth="1" width="8"/>
    <col min="7222" max="7222" customWidth="1" width="8"/>
    <col min="7223" max="7223" customWidth="1" width="8"/>
    <col min="7224" max="7224" customWidth="1" width="8"/>
    <col min="7225" max="7225" customWidth="1" width="8"/>
    <col min="7226" max="7226" customWidth="1" width="8"/>
    <col min="7227" max="7227" customWidth="1" width="8"/>
    <col min="7228" max="7228" customWidth="1" width="8"/>
    <col min="7229" max="7229" customWidth="1" width="8"/>
    <col min="7230" max="7230" customWidth="1" width="8"/>
    <col min="7231" max="7231" customWidth="1" width="8"/>
    <col min="7232" max="7232" customWidth="1" width="8"/>
    <col min="7233" max="7233" customWidth="1" width="8"/>
    <col min="7234" max="7234" customWidth="1" width="8"/>
    <col min="7235" max="7235" customWidth="1" width="8"/>
    <col min="7236" max="7236" customWidth="1" width="8"/>
    <col min="7237" max="7237" customWidth="1" width="8"/>
    <col min="7238" max="7238" customWidth="1" width="8"/>
    <col min="7239" max="7239" customWidth="1" width="8"/>
    <col min="7240" max="7240" customWidth="1" width="8"/>
    <col min="7241" max="7241" customWidth="1" width="8"/>
    <col min="7242" max="7242" customWidth="1" width="8"/>
    <col min="7243" max="7243" customWidth="1" width="8"/>
    <col min="7244" max="7244" customWidth="1" width="8"/>
    <col min="7245" max="7245" customWidth="1" width="8"/>
    <col min="7246" max="7246" customWidth="1" width="8"/>
    <col min="7247" max="7247" customWidth="1" width="8"/>
    <col min="7248" max="7248" customWidth="1" width="8"/>
    <col min="7249" max="7249" customWidth="1" width="8"/>
    <col min="7250" max="7250" customWidth="1" width="8"/>
    <col min="7251" max="7251" customWidth="1" width="8"/>
    <col min="7252" max="7252" customWidth="1" width="8"/>
    <col min="7253" max="7253" customWidth="1" width="8"/>
    <col min="7254" max="7254" customWidth="1" width="8"/>
    <col min="7255" max="7255" customWidth="1" width="8"/>
    <col min="7256" max="7256" customWidth="1" width="8"/>
    <col min="7257" max="7257" customWidth="1" width="8"/>
    <col min="7258" max="7258" customWidth="1" width="8"/>
    <col min="7259" max="7259" customWidth="1" width="8"/>
    <col min="7260" max="7260" customWidth="1" width="8"/>
    <col min="7261" max="7261" customWidth="1" width="8"/>
    <col min="7262" max="7262" customWidth="1" width="8"/>
    <col min="7263" max="7263" customWidth="1" width="8"/>
    <col min="7264" max="7264" customWidth="1" width="8"/>
    <col min="7265" max="7265" customWidth="1" width="8"/>
    <col min="7266" max="7266" customWidth="1" width="8"/>
    <col min="7267" max="7267" customWidth="1" width="8"/>
    <col min="7268" max="7268" customWidth="1" width="8"/>
    <col min="7269" max="7269" customWidth="1" width="8"/>
    <col min="7270" max="7270" customWidth="1" width="8"/>
    <col min="7271" max="7271" customWidth="1" width="8"/>
    <col min="7272" max="7272" customWidth="1" width="8"/>
    <col min="7273" max="7273" customWidth="1" width="8"/>
    <col min="7274" max="7274" customWidth="1" width="8"/>
    <col min="7275" max="7275" customWidth="1" width="8"/>
    <col min="7276" max="7276" customWidth="1" width="8"/>
    <col min="7277" max="7277" customWidth="1" width="8"/>
    <col min="7278" max="7278" customWidth="1" width="8"/>
    <col min="7279" max="7279" customWidth="1" width="8"/>
    <col min="7280" max="7280" customWidth="1" width="8"/>
    <col min="7281" max="7281" customWidth="1" width="8"/>
    <col min="7282" max="7282" customWidth="1" width="8"/>
    <col min="7283" max="7283" customWidth="1" width="8"/>
    <col min="7284" max="7284" customWidth="1" width="8"/>
    <col min="7285" max="7285" customWidth="1" width="8"/>
    <col min="7286" max="7286" customWidth="1" width="8"/>
    <col min="7287" max="7287" customWidth="1" width="8"/>
    <col min="7288" max="7288" customWidth="1" width="8"/>
    <col min="7289" max="7289" customWidth="1" width="8"/>
    <col min="7290" max="7290" customWidth="1" width="8"/>
    <col min="7291" max="7291" customWidth="1" width="8"/>
    <col min="7292" max="7292" customWidth="1" width="8"/>
    <col min="7293" max="7293" customWidth="1" width="8"/>
    <col min="7294" max="7294" customWidth="1" width="8"/>
    <col min="7295" max="7295" customWidth="1" width="8"/>
    <col min="7296" max="7296" customWidth="1" width="8"/>
    <col min="7297" max="7297" customWidth="1" width="8"/>
    <col min="7298" max="7298" customWidth="1" width="8"/>
    <col min="7299" max="7299" customWidth="1" width="8"/>
    <col min="7300" max="7300" customWidth="1" width="8"/>
    <col min="7301" max="7301" customWidth="1" width="8"/>
    <col min="7302" max="7302" customWidth="1" width="8"/>
    <col min="7303" max="7303" customWidth="1" width="8"/>
    <col min="7304" max="7304" customWidth="1" width="8"/>
    <col min="7305" max="7305" customWidth="1" width="8"/>
    <col min="7306" max="7306" customWidth="1" width="8"/>
    <col min="7307" max="7307" customWidth="1" width="8"/>
    <col min="7308" max="7308" customWidth="1" width="8"/>
    <col min="7309" max="7309" customWidth="1" width="8"/>
    <col min="7310" max="7310" customWidth="1" width="8"/>
    <col min="7311" max="7311" customWidth="1" width="8"/>
    <col min="7312" max="7312" customWidth="1" width="8"/>
    <col min="7313" max="7313" customWidth="1" width="8"/>
    <col min="7314" max="7314" customWidth="1" width="8"/>
    <col min="7315" max="7315" customWidth="1" width="8"/>
    <col min="7316" max="7316" customWidth="1" width="8"/>
    <col min="7317" max="7317" customWidth="1" width="8"/>
    <col min="7318" max="7318" customWidth="1" width="8"/>
    <col min="7319" max="7319" customWidth="1" width="8"/>
    <col min="7320" max="7320" customWidth="1" width="8"/>
    <col min="7321" max="7321" customWidth="1" width="8"/>
    <col min="7322" max="7322" customWidth="1" width="8"/>
    <col min="7323" max="7323" customWidth="1" width="8"/>
    <col min="7324" max="7324" customWidth="1" width="8"/>
    <col min="7325" max="7325" customWidth="1" width="8"/>
    <col min="7326" max="7326" customWidth="1" width="8"/>
    <col min="7327" max="7327" customWidth="1" width="8"/>
    <col min="7328" max="7328" customWidth="1" width="8"/>
    <col min="7329" max="7329" customWidth="1" width="8"/>
    <col min="7330" max="7330" customWidth="1" width="8"/>
    <col min="7331" max="7331" customWidth="1" width="8"/>
    <col min="7332" max="7332" customWidth="1" width="8"/>
    <col min="7333" max="7333" customWidth="1" width="8"/>
    <col min="7334" max="7334" customWidth="1" width="8"/>
    <col min="7335" max="7335" customWidth="1" width="8"/>
    <col min="7336" max="7336" customWidth="1" width="8"/>
    <col min="7337" max="7337" customWidth="1" width="8"/>
    <col min="7338" max="7338" customWidth="1" width="8"/>
    <col min="7339" max="7339" customWidth="1" width="8"/>
    <col min="7340" max="7340" customWidth="1" width="8"/>
    <col min="7341" max="7341" customWidth="1" width="8"/>
    <col min="7342" max="7342" customWidth="1" width="8"/>
    <col min="7343" max="7343" customWidth="1" width="8"/>
    <col min="7344" max="7344" customWidth="1" width="8"/>
    <col min="7345" max="7345" customWidth="1" width="8"/>
    <col min="7346" max="7346" customWidth="1" width="8"/>
    <col min="7347" max="7347" customWidth="1" width="8"/>
    <col min="7348" max="7348" customWidth="1" width="8"/>
    <col min="7349" max="7349" customWidth="1" width="8"/>
    <col min="7350" max="7350" customWidth="1" width="8"/>
    <col min="7351" max="7351" customWidth="1" width="8"/>
    <col min="7352" max="7352" customWidth="1" width="8"/>
    <col min="7353" max="7353" customWidth="1" width="8"/>
    <col min="7354" max="7354" customWidth="1" width="8"/>
    <col min="7355" max="7355" customWidth="1" width="8"/>
    <col min="7356" max="7356" customWidth="1" width="8"/>
    <col min="7357" max="7357" customWidth="1" width="8"/>
    <col min="7358" max="7358" customWidth="1" width="8"/>
    <col min="7359" max="7359" customWidth="1" width="8"/>
    <col min="7360" max="7360" customWidth="1" width="8"/>
    <col min="7361" max="7361" customWidth="1" width="8"/>
    <col min="7362" max="7362" customWidth="1" width="8"/>
    <col min="7363" max="7363" customWidth="1" width="8"/>
    <col min="7364" max="7364" customWidth="1" width="8"/>
    <col min="7365" max="7365" customWidth="1" width="8"/>
    <col min="7366" max="7366" customWidth="1" width="8"/>
    <col min="7367" max="7367" customWidth="1" width="8"/>
    <col min="7368" max="7368" customWidth="1" width="8"/>
    <col min="7369" max="7369" customWidth="1" width="8"/>
    <col min="7370" max="7370" customWidth="1" width="8"/>
    <col min="7371" max="7371" customWidth="1" width="8"/>
    <col min="7372" max="7372" customWidth="1" width="8"/>
    <col min="7373" max="7373" customWidth="1" width="8"/>
    <col min="7374" max="7374" customWidth="1" width="8"/>
    <col min="7375" max="7375" customWidth="1" width="8"/>
    <col min="7376" max="7376" customWidth="1" width="8"/>
    <col min="7377" max="7377" customWidth="1" width="8"/>
    <col min="7378" max="7378" customWidth="1" width="8"/>
    <col min="7379" max="7379" customWidth="1" width="8"/>
    <col min="7380" max="7380" customWidth="1" width="8"/>
    <col min="7381" max="7381" customWidth="1" width="8"/>
    <col min="7382" max="7382" customWidth="1" width="8"/>
    <col min="7383" max="7383" customWidth="1" width="8"/>
    <col min="7384" max="7384" customWidth="1" width="8"/>
    <col min="7385" max="7385" customWidth="1" width="8"/>
    <col min="7386" max="7386" customWidth="1" width="8"/>
    <col min="7387" max="7387" customWidth="1" width="8"/>
    <col min="7388" max="7388" customWidth="1" width="8"/>
    <col min="7389" max="7389" customWidth="1" width="8"/>
    <col min="7390" max="7390" customWidth="1" width="8"/>
    <col min="7391" max="7391" customWidth="1" width="8"/>
    <col min="7392" max="7392" customWidth="1" width="8"/>
    <col min="7393" max="7393" customWidth="1" width="8"/>
    <col min="7394" max="7394" customWidth="1" width="8"/>
    <col min="7395" max="7395" customWidth="1" width="8"/>
    <col min="7396" max="7396" customWidth="1" width="8"/>
    <col min="7397" max="7397" customWidth="1" width="8"/>
    <col min="7398" max="7398" customWidth="1" width="8"/>
    <col min="7399" max="7399" customWidth="1" width="8"/>
    <col min="7400" max="7400" customWidth="1" width="8"/>
    <col min="7401" max="7401" customWidth="1" width="8"/>
    <col min="7402" max="7402" customWidth="1" width="8"/>
    <col min="7403" max="7403" customWidth="1" width="8"/>
    <col min="7404" max="7404" customWidth="1" width="8"/>
    <col min="7405" max="7405" customWidth="1" width="8"/>
    <col min="7406" max="7406" customWidth="1" width="8"/>
    <col min="7407" max="7407" customWidth="1" width="8"/>
    <col min="7408" max="7408" customWidth="1" width="8"/>
    <col min="7409" max="7409" customWidth="1" width="8"/>
    <col min="7410" max="7410" customWidth="1" width="8"/>
    <col min="7411" max="7411" customWidth="1" width="8"/>
    <col min="7412" max="7412" customWidth="1" width="8"/>
    <col min="7413" max="7413" customWidth="1" width="8"/>
    <col min="7414" max="7414" customWidth="1" width="8"/>
    <col min="7415" max="7415" customWidth="1" width="8"/>
    <col min="7416" max="7416" customWidth="1" width="8"/>
    <col min="7417" max="7417" customWidth="1" width="8"/>
    <col min="7418" max="7418" customWidth="1" width="8"/>
    <col min="7419" max="7419" customWidth="1" width="8"/>
    <col min="7420" max="7420" customWidth="1" width="8"/>
    <col min="7421" max="7421" customWidth="1" width="8"/>
    <col min="7422" max="7422" customWidth="1" width="8"/>
    <col min="7423" max="7423" customWidth="1" width="8"/>
    <col min="7424" max="7424" customWidth="1" width="8"/>
    <col min="7425" max="7425" customWidth="1" width="8"/>
    <col min="7426" max="7426" customWidth="1" width="8"/>
    <col min="7427" max="7427" customWidth="1" width="8"/>
    <col min="7428" max="7428" customWidth="1" width="8"/>
    <col min="7429" max="7429" customWidth="1" width="8"/>
    <col min="7430" max="7430" customWidth="1" width="8"/>
    <col min="7431" max="7431" customWidth="1" width="8"/>
    <col min="7432" max="7432" customWidth="1" width="8"/>
    <col min="7433" max="7433" customWidth="1" width="8"/>
    <col min="7434" max="7434" customWidth="1" width="8"/>
    <col min="7435" max="7435" customWidth="1" width="8"/>
    <col min="7436" max="7436" customWidth="1" width="8"/>
    <col min="7437" max="7437" customWidth="1" width="8"/>
    <col min="7438" max="7438" customWidth="1" width="8"/>
    <col min="7439" max="7439" customWidth="1" width="8"/>
    <col min="7440" max="7440" customWidth="1" width="8"/>
    <col min="7441" max="7441" customWidth="1" width="8"/>
    <col min="7442" max="7442" customWidth="1" width="8"/>
    <col min="7443" max="7443" customWidth="1" width="8"/>
    <col min="7444" max="7444" customWidth="1" width="8"/>
    <col min="7445" max="7445" customWidth="1" width="8"/>
    <col min="7446" max="7446" customWidth="1" width="8"/>
    <col min="7447" max="7447" customWidth="1" width="8"/>
    <col min="7448" max="7448" customWidth="1" width="8"/>
    <col min="7449" max="7449" customWidth="1" width="8"/>
    <col min="7450" max="7450" customWidth="1" width="8"/>
    <col min="7451" max="7451" customWidth="1" width="8"/>
    <col min="7452" max="7452" customWidth="1" width="8"/>
    <col min="7453" max="7453" customWidth="1" width="8"/>
    <col min="7454" max="7454" customWidth="1" width="8"/>
    <col min="7455" max="7455" customWidth="1" width="8"/>
    <col min="7456" max="7456" customWidth="1" width="8"/>
    <col min="7457" max="7457" customWidth="1" width="8"/>
    <col min="7458" max="7458" customWidth="1" width="8"/>
    <col min="7459" max="7459" customWidth="1" width="8"/>
    <col min="7460" max="7460" customWidth="1" width="8"/>
    <col min="7461" max="7461" customWidth="1" width="8"/>
    <col min="7462" max="7462" customWidth="1" width="8"/>
    <col min="7463" max="7463" customWidth="1" width="8"/>
    <col min="7464" max="7464" customWidth="1" width="8"/>
    <col min="7465" max="7465" customWidth="1" width="8"/>
    <col min="7466" max="7466" customWidth="1" width="8"/>
    <col min="7467" max="7467" customWidth="1" width="8"/>
    <col min="7468" max="7468" customWidth="1" width="8"/>
    <col min="7469" max="7469" customWidth="1" width="8"/>
    <col min="7470" max="7470" customWidth="1" width="8"/>
    <col min="7471" max="7471" customWidth="1" width="8"/>
    <col min="7472" max="7472" customWidth="1" width="8"/>
    <col min="7473" max="7473" customWidth="1" width="8"/>
    <col min="7474" max="7474" customWidth="1" width="8"/>
    <col min="7475" max="7475" customWidth="1" width="8"/>
    <col min="7476" max="7476" customWidth="1" width="8"/>
    <col min="7477" max="7477" customWidth="1" width="8"/>
    <col min="7478" max="7478" customWidth="1" width="8"/>
    <col min="7479" max="7479" customWidth="1" width="8"/>
    <col min="7480" max="7480" customWidth="1" width="8"/>
    <col min="7481" max="7481" customWidth="1" width="8"/>
    <col min="7482" max="7482" customWidth="1" width="8"/>
    <col min="7483" max="7483" customWidth="1" width="8"/>
    <col min="7484" max="7484" customWidth="1" width="8"/>
    <col min="7485" max="7485" customWidth="1" width="8"/>
    <col min="7486" max="7486" customWidth="1" width="8"/>
    <col min="7487" max="7487" customWidth="1" width="8"/>
    <col min="7488" max="7488" customWidth="1" width="8"/>
    <col min="7489" max="7489" customWidth="1" width="8"/>
    <col min="7490" max="7490" customWidth="1" width="8"/>
    <col min="7491" max="7491" customWidth="1" width="8"/>
    <col min="7492" max="7492" customWidth="1" width="8"/>
    <col min="7493" max="7493" customWidth="1" width="8"/>
    <col min="7494" max="7494" customWidth="1" width="8"/>
    <col min="7495" max="7495" customWidth="1" width="8"/>
    <col min="7496" max="7496" customWidth="1" width="8"/>
    <col min="7497" max="7497" customWidth="1" width="8"/>
    <col min="7498" max="7498" customWidth="1" width="8"/>
    <col min="7499" max="7499" customWidth="1" width="8"/>
    <col min="7500" max="7500" customWidth="1" width="8"/>
    <col min="7501" max="7501" customWidth="1" width="8"/>
    <col min="7502" max="7502" customWidth="1" width="8"/>
    <col min="7503" max="7503" customWidth="1" width="8"/>
    <col min="7504" max="7504" customWidth="1" width="8"/>
    <col min="7505" max="7505" customWidth="1" width="8"/>
    <col min="7506" max="7506" customWidth="1" width="8"/>
    <col min="7507" max="7507" customWidth="1" width="8"/>
    <col min="7508" max="7508" customWidth="1" width="8"/>
    <col min="7509" max="7509" customWidth="1" width="8"/>
    <col min="7510" max="7510" customWidth="1" width="8"/>
    <col min="7511" max="7511" customWidth="1" width="8"/>
    <col min="7512" max="7512" customWidth="1" width="8"/>
    <col min="7513" max="7513" customWidth="1" width="8"/>
    <col min="7514" max="7514" customWidth="1" width="8"/>
    <col min="7515" max="7515" customWidth="1" width="8"/>
    <col min="7516" max="7516" customWidth="1" width="8"/>
    <col min="7517" max="7517" customWidth="1" width="8"/>
    <col min="7518" max="7518" customWidth="1" width="8"/>
    <col min="7519" max="7519" customWidth="1" width="8"/>
    <col min="7520" max="7520" customWidth="1" width="8"/>
    <col min="7521" max="7521" customWidth="1" width="8"/>
    <col min="7522" max="7522" customWidth="1" width="8"/>
    <col min="7523" max="7523" customWidth="1" width="8"/>
    <col min="7524" max="7524" customWidth="1" width="8"/>
    <col min="7525" max="7525" customWidth="1" width="8"/>
    <col min="7526" max="7526" customWidth="1" width="8"/>
    <col min="7527" max="7527" customWidth="1" width="8"/>
    <col min="7528" max="7528" customWidth="1" width="8"/>
    <col min="7529" max="7529" customWidth="1" width="8"/>
    <col min="7530" max="7530" customWidth="1" width="8"/>
    <col min="7531" max="7531" customWidth="1" width="8"/>
    <col min="7532" max="7532" customWidth="1" width="8"/>
    <col min="7533" max="7533" customWidth="1" width="8"/>
    <col min="7534" max="7534" customWidth="1" width="8"/>
    <col min="7535" max="7535" customWidth="1" width="8"/>
    <col min="7536" max="7536" customWidth="1" width="8"/>
    <col min="7537" max="7537" customWidth="1" width="8"/>
    <col min="7538" max="7538" customWidth="1" width="8"/>
    <col min="7539" max="7539" customWidth="1" width="8"/>
    <col min="7540" max="7540" customWidth="1" width="8"/>
    <col min="7541" max="7541" customWidth="1" width="8"/>
    <col min="7542" max="7542" customWidth="1" width="8"/>
    <col min="7543" max="7543" customWidth="1" width="8"/>
    <col min="7544" max="7544" customWidth="1" width="8"/>
    <col min="7545" max="7545" customWidth="1" width="8"/>
    <col min="7546" max="7546" customWidth="1" width="8"/>
    <col min="7547" max="7547" customWidth="1" width="8"/>
    <col min="7548" max="7548" customWidth="1" width="8"/>
    <col min="7549" max="7549" customWidth="1" width="8"/>
    <col min="7550" max="7550" customWidth="1" width="8"/>
    <col min="7551" max="7551" customWidth="1" width="8"/>
    <col min="7552" max="7552" customWidth="1" width="8"/>
    <col min="7553" max="7553" customWidth="1" width="8"/>
    <col min="7554" max="7554" customWidth="1" width="8"/>
    <col min="7555" max="7555" customWidth="1" width="8"/>
    <col min="7556" max="7556" customWidth="1" width="8"/>
    <col min="7557" max="7557" customWidth="1" width="8"/>
    <col min="7558" max="7558" customWidth="1" width="8"/>
    <col min="7559" max="7559" customWidth="1" width="8"/>
    <col min="7560" max="7560" customWidth="1" width="8"/>
    <col min="7561" max="7561" customWidth="1" width="8"/>
    <col min="7562" max="7562" customWidth="1" width="8"/>
    <col min="7563" max="7563" customWidth="1" width="8"/>
    <col min="7564" max="7564" customWidth="1" width="8"/>
    <col min="7565" max="7565" customWidth="1" width="8"/>
    <col min="7566" max="7566" customWidth="1" width="8"/>
    <col min="7567" max="7567" customWidth="1" width="8"/>
    <col min="7568" max="7568" customWidth="1" width="8"/>
    <col min="7569" max="7569" customWidth="1" width="8"/>
    <col min="7570" max="7570" customWidth="1" width="8"/>
    <col min="7571" max="7571" customWidth="1" width="8"/>
    <col min="7572" max="7572" customWidth="1" width="8"/>
    <col min="7573" max="7573" customWidth="1" width="8"/>
    <col min="7574" max="7574" customWidth="1" width="8"/>
    <col min="7575" max="7575" customWidth="1" width="8"/>
    <col min="7576" max="7576" customWidth="1" width="8"/>
    <col min="7577" max="7577" customWidth="1" width="8"/>
    <col min="7578" max="7578" customWidth="1" width="8"/>
    <col min="7579" max="7579" customWidth="1" width="8"/>
    <col min="7580" max="7580" customWidth="1" width="8"/>
    <col min="7581" max="7581" customWidth="1" width="8"/>
    <col min="7582" max="7582" customWidth="1" width="8"/>
    <col min="7583" max="7583" customWidth="1" width="8"/>
    <col min="7584" max="7584" customWidth="1" width="8"/>
    <col min="7585" max="7585" customWidth="1" width="8"/>
    <col min="7586" max="7586" customWidth="1" width="8"/>
    <col min="7587" max="7587" customWidth="1" width="8"/>
    <col min="7588" max="7588" customWidth="1" width="8"/>
    <col min="7589" max="7589" customWidth="1" width="8"/>
    <col min="7590" max="7590" customWidth="1" width="8"/>
    <col min="7591" max="7591" customWidth="1" width="8"/>
    <col min="7592" max="7592" customWidth="1" width="8"/>
    <col min="7593" max="7593" customWidth="1" width="8"/>
    <col min="7594" max="7594" customWidth="1" width="8"/>
    <col min="7595" max="7595" customWidth="1" width="8"/>
    <col min="7596" max="7596" customWidth="1" width="8"/>
    <col min="7597" max="7597" customWidth="1" width="8"/>
    <col min="7598" max="7598" customWidth="1" width="8"/>
    <col min="7599" max="7599" customWidth="1" width="8"/>
    <col min="7600" max="7600" customWidth="1" width="8"/>
    <col min="7601" max="7601" customWidth="1" width="8"/>
    <col min="7602" max="7602" customWidth="1" width="8"/>
    <col min="7603" max="7603" customWidth="1" width="8"/>
    <col min="7604" max="7604" customWidth="1" width="8"/>
    <col min="7605" max="7605" customWidth="1" width="8"/>
    <col min="7606" max="7606" customWidth="1" width="8"/>
    <col min="7607" max="7607" customWidth="1" width="8"/>
    <col min="7608" max="7608" customWidth="1" width="8"/>
    <col min="7609" max="7609" customWidth="1" width="8"/>
    <col min="7610" max="7610" customWidth="1" width="8"/>
    <col min="7611" max="7611" customWidth="1" width="8"/>
    <col min="7612" max="7612" customWidth="1" width="8"/>
    <col min="7613" max="7613" customWidth="1" width="8"/>
    <col min="7614" max="7614" customWidth="1" width="8"/>
    <col min="7615" max="7615" customWidth="1" width="8"/>
    <col min="7616" max="7616" customWidth="1" width="8"/>
    <col min="7617" max="7617" customWidth="1" width="8"/>
    <col min="7618" max="7618" customWidth="1" width="8"/>
    <col min="7619" max="7619" customWidth="1" width="8"/>
    <col min="7620" max="7620" customWidth="1" width="8"/>
    <col min="7621" max="7621" customWidth="1" width="8"/>
    <col min="7622" max="7622" customWidth="1" width="8"/>
    <col min="7623" max="7623" customWidth="1" width="8"/>
    <col min="7624" max="7624" customWidth="1" width="8"/>
    <col min="7625" max="7625" customWidth="1" width="8"/>
    <col min="7626" max="7626" customWidth="1" width="8"/>
    <col min="7627" max="7627" customWidth="1" width="8"/>
    <col min="7628" max="7628" customWidth="1" width="8"/>
    <col min="7629" max="7629" customWidth="1" width="8"/>
    <col min="7630" max="7630" customWidth="1" width="8"/>
    <col min="7631" max="7631" customWidth="1" width="8"/>
    <col min="7632" max="7632" customWidth="1" width="8"/>
    <col min="7633" max="7633" customWidth="1" width="8"/>
    <col min="7634" max="7634" customWidth="1" width="8"/>
    <col min="7635" max="7635" customWidth="1" width="8"/>
    <col min="7636" max="7636" customWidth="1" width="8"/>
    <col min="7637" max="7637" customWidth="1" width="8"/>
    <col min="7638" max="7638" customWidth="1" width="8"/>
    <col min="7639" max="7639" customWidth="1" width="8"/>
    <col min="7640" max="7640" customWidth="1" width="8"/>
    <col min="7641" max="7641" customWidth="1" width="8"/>
    <col min="7642" max="7642" customWidth="1" width="8"/>
    <col min="7643" max="7643" customWidth="1" width="8"/>
    <col min="7644" max="7644" customWidth="1" width="8"/>
    <col min="7645" max="7645" customWidth="1" width="8"/>
    <col min="7646" max="7646" customWidth="1" width="8"/>
    <col min="7647" max="7647" customWidth="1" width="8"/>
    <col min="7648" max="7648" customWidth="1" width="8"/>
    <col min="7649" max="7649" customWidth="1" width="8"/>
    <col min="7650" max="7650" customWidth="1" width="8"/>
    <col min="7651" max="7651" customWidth="1" width="8"/>
    <col min="7652" max="7652" customWidth="1" width="8"/>
    <col min="7653" max="7653" customWidth="1" width="8"/>
    <col min="7654" max="7654" customWidth="1" width="8"/>
    <col min="7655" max="7655" customWidth="1" width="8"/>
    <col min="7656" max="7656" customWidth="1" width="8"/>
    <col min="7657" max="7657" customWidth="1" width="8"/>
    <col min="7658" max="7658" customWidth="1" width="8"/>
    <col min="7659" max="7659" customWidth="1" width="8"/>
    <col min="7660" max="7660" customWidth="1" width="8"/>
    <col min="7661" max="7661" customWidth="1" width="8"/>
    <col min="7662" max="7662" customWidth="1" width="8"/>
    <col min="7663" max="7663" customWidth="1" width="8"/>
    <col min="7664" max="7664" customWidth="1" width="8"/>
    <col min="7665" max="7665" customWidth="1" width="8"/>
    <col min="7666" max="7666" customWidth="1" width="8"/>
    <col min="7667" max="7667" customWidth="1" width="8"/>
    <col min="7668" max="7668" customWidth="1" width="8"/>
    <col min="7669" max="7669" customWidth="1" width="8"/>
    <col min="7670" max="7670" customWidth="1" width="8"/>
    <col min="7671" max="7671" customWidth="1" width="8"/>
    <col min="7672" max="7672" customWidth="1" width="8"/>
    <col min="7673" max="7673" customWidth="1" width="8"/>
    <col min="7674" max="7674" customWidth="1" width="8"/>
    <col min="7675" max="7675" customWidth="1" width="8"/>
    <col min="7676" max="7676" customWidth="1" width="8"/>
    <col min="7677" max="7677" customWidth="1" width="8"/>
    <col min="7678" max="7678" customWidth="1" width="8"/>
    <col min="7679" max="7679" customWidth="1" width="8"/>
    <col min="7680" max="7680" customWidth="1" width="8"/>
    <col min="7681" max="7681" customWidth="1" width="8"/>
    <col min="7682" max="7682" customWidth="1" width="8"/>
    <col min="7683" max="7683" customWidth="1" width="8"/>
    <col min="7684" max="7684" customWidth="1" width="8"/>
    <col min="7685" max="7685" customWidth="1" width="8"/>
    <col min="7686" max="7686" customWidth="1" width="8"/>
    <col min="7687" max="7687" customWidth="1" width="8"/>
    <col min="7688" max="7688" customWidth="1" width="8"/>
    <col min="7689" max="7689" customWidth="1" width="8"/>
    <col min="7690" max="7690" customWidth="1" width="8"/>
    <col min="7691" max="7691" customWidth="1" width="8"/>
    <col min="7692" max="7692" customWidth="1" width="8"/>
    <col min="7693" max="7693" customWidth="1" width="8"/>
    <col min="7694" max="7694" customWidth="1" width="8"/>
    <col min="7695" max="7695" customWidth="1" width="8"/>
    <col min="7696" max="7696" customWidth="1" width="8"/>
    <col min="7697" max="7697" customWidth="1" width="8"/>
    <col min="7698" max="7698" customWidth="1" width="8"/>
    <col min="7699" max="7699" customWidth="1" width="8"/>
    <col min="7700" max="7700" customWidth="1" width="8"/>
    <col min="7701" max="7701" customWidth="1" width="8"/>
    <col min="7702" max="7702" customWidth="1" width="8"/>
    <col min="7703" max="7703" customWidth="1" width="8"/>
    <col min="7704" max="7704" customWidth="1" width="8"/>
    <col min="7705" max="7705" customWidth="1" width="8"/>
    <col min="7706" max="7706" customWidth="1" width="8"/>
    <col min="7707" max="7707" customWidth="1" width="8"/>
    <col min="7708" max="7708" customWidth="1" width="8"/>
    <col min="7709" max="7709" customWidth="1" width="8"/>
    <col min="7710" max="7710" customWidth="1" width="8"/>
    <col min="7711" max="7711" customWidth="1" width="8"/>
    <col min="7712" max="7712" customWidth="1" width="8"/>
    <col min="7713" max="7713" customWidth="1" width="8"/>
    <col min="7714" max="7714" customWidth="1" width="8"/>
    <col min="7715" max="7715" customWidth="1" width="8"/>
    <col min="7716" max="7716" customWidth="1" width="8"/>
    <col min="7717" max="7717" customWidth="1" width="8"/>
    <col min="7718" max="7718" customWidth="1" width="8"/>
    <col min="7719" max="7719" customWidth="1" width="8"/>
    <col min="7720" max="7720" customWidth="1" width="8"/>
    <col min="7721" max="7721" customWidth="1" width="8"/>
    <col min="7722" max="7722" customWidth="1" width="8"/>
    <col min="7723" max="7723" customWidth="1" width="8"/>
    <col min="7724" max="7724" customWidth="1" width="8"/>
    <col min="7725" max="7725" customWidth="1" width="8"/>
    <col min="7726" max="7726" customWidth="1" width="8"/>
    <col min="7727" max="7727" customWidth="1" width="8"/>
    <col min="7728" max="7728" customWidth="1" width="8"/>
    <col min="7729" max="7729" customWidth="1" width="8"/>
    <col min="7730" max="7730" customWidth="1" width="8"/>
    <col min="7731" max="7731" customWidth="1" width="8"/>
    <col min="7732" max="7732" customWidth="1" width="8"/>
    <col min="7733" max="7733" customWidth="1" width="8"/>
    <col min="7734" max="7734" customWidth="1" width="8"/>
    <col min="7735" max="7735" customWidth="1" width="8"/>
    <col min="7736" max="7736" customWidth="1" width="8"/>
    <col min="7737" max="7737" customWidth="1" width="8"/>
    <col min="7738" max="7738" customWidth="1" width="8"/>
    <col min="7739" max="7739" customWidth="1" width="8"/>
    <col min="7740" max="7740" customWidth="1" width="8"/>
    <col min="7741" max="7741" customWidth="1" width="8"/>
    <col min="7742" max="7742" customWidth="1" width="8"/>
    <col min="7743" max="7743" customWidth="1" width="8"/>
    <col min="7744" max="7744" customWidth="1" width="8"/>
    <col min="7745" max="7745" customWidth="1" width="8"/>
    <col min="7746" max="7746" customWidth="1" width="8"/>
    <col min="7747" max="7747" customWidth="1" width="8"/>
    <col min="7748" max="7748" customWidth="1" width="8"/>
    <col min="7749" max="7749" customWidth="1" width="8"/>
    <col min="7750" max="7750" customWidth="1" width="8"/>
    <col min="7751" max="7751" customWidth="1" width="8"/>
    <col min="7752" max="7752" customWidth="1" width="8"/>
    <col min="7753" max="7753" customWidth="1" width="8"/>
    <col min="7754" max="7754" customWidth="1" width="8"/>
    <col min="7755" max="7755" customWidth="1" width="8"/>
    <col min="7756" max="7756" customWidth="1" width="8"/>
    <col min="7757" max="7757" customWidth="1" width="8"/>
    <col min="7758" max="7758" customWidth="1" width="8"/>
    <col min="7759" max="7759" customWidth="1" width="8"/>
    <col min="7760" max="7760" customWidth="1" width="8"/>
    <col min="7761" max="7761" customWidth="1" width="8"/>
    <col min="7762" max="7762" customWidth="1" width="8"/>
    <col min="7763" max="7763" customWidth="1" width="8"/>
    <col min="7764" max="7764" customWidth="1" width="8"/>
    <col min="7765" max="7765" customWidth="1" width="8"/>
    <col min="7766" max="7766" customWidth="1" width="8"/>
    <col min="7767" max="7767" customWidth="1" width="8"/>
    <col min="7768" max="7768" customWidth="1" width="8"/>
    <col min="7769" max="7769" customWidth="1" width="8"/>
    <col min="7770" max="7770" customWidth="1" width="8"/>
    <col min="7771" max="7771" customWidth="1" width="8"/>
    <col min="7772" max="7772" customWidth="1" width="8"/>
    <col min="7773" max="7773" customWidth="1" width="8"/>
    <col min="7774" max="7774" customWidth="1" width="8"/>
    <col min="7775" max="7775" customWidth="1" width="8"/>
    <col min="7776" max="7776" customWidth="1" width="8"/>
    <col min="7777" max="7777" customWidth="1" width="8"/>
    <col min="7778" max="7778" customWidth="1" width="8"/>
    <col min="7779" max="7779" customWidth="1" width="8"/>
    <col min="7780" max="7780" customWidth="1" width="8"/>
    <col min="7781" max="7781" customWidth="1" width="8"/>
    <col min="7782" max="7782" customWidth="1" width="8"/>
    <col min="7783" max="7783" customWidth="1" width="8"/>
    <col min="7784" max="7784" customWidth="1" width="8"/>
    <col min="7785" max="7785" customWidth="1" width="8"/>
    <col min="7786" max="7786" customWidth="1" width="8"/>
    <col min="7787" max="7787" customWidth="1" width="8"/>
    <col min="7788" max="7788" customWidth="1" width="8"/>
    <col min="7789" max="7789" customWidth="1" width="8"/>
    <col min="7790" max="7790" customWidth="1" width="8"/>
    <col min="7791" max="7791" customWidth="1" width="8"/>
    <col min="7792" max="7792" customWidth="1" width="8"/>
    <col min="7793" max="7793" customWidth="1" width="8"/>
    <col min="7794" max="7794" customWidth="1" width="8"/>
    <col min="7795" max="7795" customWidth="1" width="8"/>
    <col min="7796" max="7796" customWidth="1" width="8"/>
    <col min="7797" max="7797" customWidth="1" width="8"/>
    <col min="7798" max="7798" customWidth="1" width="8"/>
    <col min="7799" max="7799" customWidth="1" width="8"/>
    <col min="7800" max="7800" customWidth="1" width="8"/>
    <col min="7801" max="7801" customWidth="1" width="8"/>
    <col min="7802" max="7802" customWidth="1" width="8"/>
    <col min="7803" max="7803" customWidth="1" width="8"/>
    <col min="7804" max="7804" customWidth="1" width="8"/>
    <col min="7805" max="7805" customWidth="1" width="8"/>
    <col min="7806" max="7806" customWidth="1" width="8"/>
    <col min="7807" max="7807" customWidth="1" width="8"/>
    <col min="7808" max="7808" customWidth="1" width="8"/>
    <col min="7809" max="7809" customWidth="1" width="8"/>
    <col min="7810" max="7810" customWidth="1" width="8"/>
    <col min="7811" max="7811" customWidth="1" width="8"/>
    <col min="7812" max="7812" customWidth="1" width="8"/>
    <col min="7813" max="7813" customWidth="1" width="8"/>
    <col min="7814" max="7814" customWidth="1" width="8"/>
    <col min="7815" max="7815" customWidth="1" width="8"/>
    <col min="7816" max="7816" customWidth="1" width="8"/>
    <col min="7817" max="7817" customWidth="1" width="8"/>
    <col min="7818" max="7818" customWidth="1" width="8"/>
    <col min="7819" max="7819" customWidth="1" width="8"/>
    <col min="7820" max="7820" customWidth="1" width="8"/>
    <col min="7821" max="7821" customWidth="1" width="8"/>
    <col min="7822" max="7822" customWidth="1" width="8"/>
    <col min="7823" max="7823" customWidth="1" width="8"/>
    <col min="7824" max="7824" customWidth="1" width="8"/>
    <col min="7825" max="7825" customWidth="1" width="8"/>
    <col min="7826" max="7826" customWidth="1" width="8"/>
    <col min="7827" max="7827" customWidth="1" width="8"/>
    <col min="7828" max="7828" customWidth="1" width="8"/>
    <col min="7829" max="7829" customWidth="1" width="8"/>
    <col min="7830" max="7830" customWidth="1" width="8"/>
    <col min="7831" max="7831" customWidth="1" width="8"/>
    <col min="7832" max="7832" customWidth="1" width="8"/>
    <col min="7833" max="7833" customWidth="1" width="8"/>
    <col min="7834" max="7834" customWidth="1" width="8"/>
    <col min="7835" max="7835" customWidth="1" width="8"/>
    <col min="7836" max="7836" customWidth="1" width="8"/>
    <col min="7837" max="7837" customWidth="1" width="8"/>
    <col min="7838" max="7838" customWidth="1" width="8"/>
    <col min="7839" max="7839" customWidth="1" width="8"/>
    <col min="7840" max="7840" customWidth="1" width="8"/>
    <col min="7841" max="7841" customWidth="1" width="8"/>
    <col min="7842" max="7842" customWidth="1" width="8"/>
    <col min="7843" max="7843" customWidth="1" width="8"/>
    <col min="7844" max="7844" customWidth="1" width="8"/>
    <col min="7845" max="7845" customWidth="1" width="8"/>
    <col min="7846" max="7846" customWidth="1" width="8"/>
    <col min="7847" max="7847" customWidth="1" width="8"/>
    <col min="7848" max="7848" customWidth="1" width="8"/>
    <col min="7849" max="7849" customWidth="1" width="8"/>
    <col min="7850" max="7850" customWidth="1" width="8"/>
    <col min="7851" max="7851" customWidth="1" width="8"/>
    <col min="7852" max="7852" customWidth="1" width="8"/>
    <col min="7853" max="7853" customWidth="1" width="8"/>
    <col min="7854" max="7854" customWidth="1" width="8"/>
    <col min="7855" max="7855" customWidth="1" width="8"/>
    <col min="7856" max="7856" customWidth="1" width="8"/>
    <col min="7857" max="7857" customWidth="1" width="8"/>
    <col min="7858" max="7858" customWidth="1" width="8"/>
    <col min="7859" max="7859" customWidth="1" width="8"/>
    <col min="7860" max="7860" customWidth="1" width="8"/>
    <col min="7861" max="7861" customWidth="1" width="8"/>
    <col min="7862" max="7862" customWidth="1" width="8"/>
    <col min="7863" max="7863" customWidth="1" width="8"/>
    <col min="7864" max="7864" customWidth="1" width="8"/>
    <col min="7865" max="7865" customWidth="1" width="8"/>
    <col min="7866" max="7866" customWidth="1" width="8"/>
    <col min="7867" max="7867" customWidth="1" width="8"/>
    <col min="7868" max="7868" customWidth="1" width="8"/>
    <col min="7869" max="7869" customWidth="1" width="8"/>
    <col min="7870" max="7870" customWidth="1" width="8"/>
    <col min="7871" max="7871" customWidth="1" width="8"/>
    <col min="7872" max="7872" customWidth="1" width="8"/>
    <col min="7873" max="7873" customWidth="1" width="8"/>
    <col min="7874" max="7874" customWidth="1" width="8"/>
    <col min="7875" max="7875" customWidth="1" width="8"/>
    <col min="7876" max="7876" customWidth="1" width="8"/>
    <col min="7877" max="7877" customWidth="1" width="8"/>
    <col min="7878" max="7878" customWidth="1" width="8"/>
    <col min="7879" max="7879" customWidth="1" width="8"/>
    <col min="7880" max="7880" customWidth="1" width="8"/>
    <col min="7881" max="7881" customWidth="1" width="8"/>
    <col min="7882" max="7882" customWidth="1" width="8"/>
    <col min="7883" max="7883" customWidth="1" width="8"/>
    <col min="7884" max="7884" customWidth="1" width="8"/>
    <col min="7885" max="7885" customWidth="1" width="8"/>
    <col min="7886" max="7886" customWidth="1" width="8"/>
    <col min="7887" max="7887" customWidth="1" width="8"/>
    <col min="7888" max="7888" customWidth="1" width="8"/>
    <col min="7889" max="7889" customWidth="1" width="8"/>
    <col min="7890" max="7890" customWidth="1" width="8"/>
    <col min="7891" max="7891" customWidth="1" width="8"/>
    <col min="7892" max="7892" customWidth="1" width="8"/>
    <col min="7893" max="7893" customWidth="1" width="8"/>
    <col min="7894" max="7894" customWidth="1" width="8"/>
    <col min="7895" max="7895" customWidth="1" width="8"/>
    <col min="7896" max="7896" customWidth="1" width="8"/>
    <col min="7897" max="7897" customWidth="1" width="8"/>
    <col min="7898" max="7898" customWidth="1" width="8"/>
    <col min="7899" max="7899" customWidth="1" width="8"/>
    <col min="7900" max="7900" customWidth="1" width="8"/>
    <col min="7901" max="7901" customWidth="1" width="8"/>
    <col min="7902" max="7902" customWidth="1" width="8"/>
    <col min="7903" max="7903" customWidth="1" width="8"/>
    <col min="7904" max="7904" customWidth="1" width="8"/>
    <col min="7905" max="7905" customWidth="1" width="8"/>
    <col min="7906" max="7906" customWidth="1" width="8"/>
    <col min="7907" max="7907" customWidth="1" width="8"/>
    <col min="7908" max="7908" customWidth="1" width="8"/>
    <col min="7909" max="7909" customWidth="1" width="8"/>
    <col min="7910" max="7910" customWidth="1" width="8"/>
    <col min="7911" max="7911" customWidth="1" width="8"/>
    <col min="7912" max="7912" customWidth="1" width="8"/>
    <col min="7913" max="7913" customWidth="1" width="8"/>
    <col min="7914" max="7914" customWidth="1" width="8"/>
    <col min="7915" max="7915" customWidth="1" width="8"/>
    <col min="7916" max="7916" customWidth="1" width="8"/>
    <col min="7917" max="7917" customWidth="1" width="8"/>
    <col min="7918" max="7918" customWidth="1" width="8"/>
    <col min="7919" max="7919" customWidth="1" width="8"/>
    <col min="7920" max="7920" customWidth="1" width="8"/>
    <col min="7921" max="7921" customWidth="1" width="8"/>
    <col min="7922" max="7922" customWidth="1" width="8"/>
    <col min="7923" max="7923" customWidth="1" width="8"/>
    <col min="7924" max="7924" customWidth="1" width="8"/>
    <col min="7925" max="7925" customWidth="1" width="8"/>
    <col min="7926" max="7926" customWidth="1" width="8"/>
    <col min="7927" max="7927" customWidth="1" width="8"/>
    <col min="7928" max="7928" customWidth="1" width="8"/>
    <col min="7929" max="7929" customWidth="1" width="8"/>
    <col min="7930" max="7930" customWidth="1" width="8"/>
    <col min="7931" max="7931" customWidth="1" width="8"/>
    <col min="7932" max="7932" customWidth="1" width="8"/>
    <col min="7933" max="7933" customWidth="1" width="8"/>
    <col min="7934" max="7934" customWidth="1" width="8"/>
    <col min="7935" max="7935" customWidth="1" width="8"/>
    <col min="7936" max="7936" customWidth="1" width="8"/>
    <col min="7937" max="7937" customWidth="1" width="8"/>
    <col min="7938" max="7938" customWidth="1" width="8"/>
    <col min="7939" max="7939" customWidth="1" width="8"/>
    <col min="7940" max="7940" customWidth="1" width="8"/>
    <col min="7941" max="7941" customWidth="1" width="8"/>
    <col min="7942" max="7942" customWidth="1" width="8"/>
    <col min="7943" max="7943" customWidth="1" width="8"/>
    <col min="7944" max="7944" customWidth="1" width="8"/>
    <col min="7945" max="7945" customWidth="1" width="8"/>
    <col min="7946" max="7946" customWidth="1" width="8"/>
    <col min="7947" max="7947" customWidth="1" width="8"/>
    <col min="7948" max="7948" customWidth="1" width="8"/>
    <col min="7949" max="7949" customWidth="1" width="8"/>
    <col min="7950" max="7950" customWidth="1" width="8"/>
    <col min="7951" max="7951" customWidth="1" width="8"/>
    <col min="7952" max="7952" customWidth="1" width="8"/>
    <col min="7953" max="7953" customWidth="1" width="8"/>
    <col min="7954" max="7954" customWidth="1" width="8"/>
    <col min="7955" max="7955" customWidth="1" width="8"/>
    <col min="7956" max="7956" customWidth="1" width="8"/>
    <col min="7957" max="7957" customWidth="1" width="8"/>
    <col min="7958" max="7958" customWidth="1" width="8"/>
    <col min="7959" max="7959" customWidth="1" width="8"/>
    <col min="7960" max="7960" customWidth="1" width="8"/>
    <col min="7961" max="7961" customWidth="1" width="8"/>
    <col min="7962" max="7962" customWidth="1" width="8"/>
    <col min="7963" max="7963" customWidth="1" width="8"/>
    <col min="7964" max="7964" customWidth="1" width="8"/>
    <col min="7965" max="7965" customWidth="1" width="8"/>
    <col min="7966" max="7966" customWidth="1" width="8"/>
    <col min="7967" max="7967" customWidth="1" width="8"/>
    <col min="7968" max="7968" customWidth="1" width="8"/>
    <col min="7969" max="7969" customWidth="1" width="8"/>
    <col min="7970" max="7970" customWidth="1" width="8"/>
    <col min="7971" max="7971" customWidth="1" width="8"/>
    <col min="7972" max="7972" customWidth="1" width="8"/>
    <col min="7973" max="7973" customWidth="1" width="8"/>
    <col min="7974" max="7974" customWidth="1" width="8"/>
    <col min="7975" max="7975" customWidth="1" width="8"/>
    <col min="7976" max="7976" customWidth="1" width="8"/>
    <col min="7977" max="7977" customWidth="1" width="8"/>
    <col min="7978" max="7978" customWidth="1" width="8"/>
    <col min="7979" max="7979" customWidth="1" width="8"/>
    <col min="7980" max="7980" customWidth="1" width="8"/>
    <col min="7981" max="7981" customWidth="1" width="8"/>
    <col min="7982" max="7982" customWidth="1" width="8"/>
    <col min="7983" max="7983" customWidth="1" width="8"/>
    <col min="7984" max="7984" customWidth="1" width="8"/>
    <col min="7985" max="7985" customWidth="1" width="8"/>
    <col min="7986" max="7986" customWidth="1" width="8"/>
    <col min="7987" max="7987" customWidth="1" width="8"/>
    <col min="7988" max="7988" customWidth="1" width="8"/>
    <col min="7989" max="7989" customWidth="1" width="8"/>
    <col min="7990" max="7990" customWidth="1" width="8"/>
    <col min="7991" max="7991" customWidth="1" width="8"/>
    <col min="7992" max="7992" customWidth="1" width="8"/>
    <col min="7993" max="7993" customWidth="1" width="8"/>
    <col min="7994" max="7994" customWidth="1" width="8"/>
    <col min="7995" max="7995" customWidth="1" width="8"/>
    <col min="7996" max="7996" customWidth="1" width="8"/>
    <col min="7997" max="7997" customWidth="1" width="8"/>
    <col min="7998" max="7998" customWidth="1" width="8"/>
    <col min="7999" max="7999" customWidth="1" width="8"/>
    <col min="8000" max="8000" customWidth="1" width="8"/>
    <col min="8001" max="8001" customWidth="1" width="8"/>
    <col min="8002" max="8002" customWidth="1" width="8"/>
    <col min="8003" max="8003" customWidth="1" width="8"/>
    <col min="8004" max="8004" customWidth="1" width="8"/>
    <col min="8005" max="8005" customWidth="1" width="8"/>
    <col min="8006" max="8006" customWidth="1" width="8"/>
    <col min="8007" max="8007" customWidth="1" width="8"/>
    <col min="8008" max="8008" customWidth="1" width="8"/>
    <col min="8009" max="8009" customWidth="1" width="8"/>
    <col min="8010" max="8010" customWidth="1" width="8"/>
    <col min="8011" max="8011" customWidth="1" width="8"/>
    <col min="8012" max="8012" customWidth="1" width="8"/>
    <col min="8013" max="8013" customWidth="1" width="8"/>
    <col min="8014" max="8014" customWidth="1" width="8"/>
    <col min="8015" max="8015" customWidth="1" width="8"/>
    <col min="8016" max="8016" customWidth="1" width="8"/>
    <col min="8017" max="8017" customWidth="1" width="8"/>
    <col min="8018" max="8018" customWidth="1" width="8"/>
    <col min="8019" max="8019" customWidth="1" width="8"/>
    <col min="8020" max="8020" customWidth="1" width="8"/>
    <col min="8021" max="8021" customWidth="1" width="8"/>
    <col min="8022" max="8022" customWidth="1" width="8"/>
    <col min="8023" max="8023" customWidth="1" width="8"/>
    <col min="8024" max="8024" customWidth="1" width="8"/>
    <col min="8025" max="8025" customWidth="1" width="8"/>
    <col min="8026" max="8026" customWidth="1" width="8"/>
    <col min="8027" max="8027" customWidth="1" width="8"/>
    <col min="8028" max="8028" customWidth="1" width="8"/>
    <col min="8029" max="8029" customWidth="1" width="8"/>
    <col min="8030" max="8030" customWidth="1" width="8"/>
    <col min="8031" max="8031" customWidth="1" width="8"/>
    <col min="8032" max="8032" customWidth="1" width="8"/>
    <col min="8033" max="8033" customWidth="1" width="8"/>
    <col min="8034" max="8034" customWidth="1" width="8"/>
    <col min="8035" max="8035" customWidth="1" width="8"/>
    <col min="8036" max="8036" customWidth="1" width="8"/>
    <col min="8037" max="8037" customWidth="1" width="8"/>
    <col min="8038" max="8038" customWidth="1" width="8"/>
    <col min="8039" max="8039" customWidth="1" width="8"/>
    <col min="8040" max="8040" customWidth="1" width="8"/>
    <col min="8041" max="8041" customWidth="1" width="8"/>
    <col min="8042" max="8042" customWidth="1" width="8"/>
    <col min="8043" max="8043" customWidth="1" width="8"/>
    <col min="8044" max="8044" customWidth="1" width="8"/>
    <col min="8045" max="8045" customWidth="1" width="8"/>
    <col min="8046" max="8046" customWidth="1" width="8"/>
    <col min="8047" max="8047" customWidth="1" width="8"/>
    <col min="8048" max="8048" customWidth="1" width="8"/>
    <col min="8049" max="8049" customWidth="1" width="8"/>
    <col min="8050" max="8050" customWidth="1" width="8"/>
    <col min="8051" max="8051" customWidth="1" width="8"/>
    <col min="8052" max="8052" customWidth="1" width="8"/>
    <col min="8053" max="8053" customWidth="1" width="8"/>
    <col min="8054" max="8054" customWidth="1" width="8"/>
    <col min="8055" max="8055" customWidth="1" width="8"/>
    <col min="8056" max="8056" customWidth="1" width="8"/>
    <col min="8057" max="8057" customWidth="1" width="8"/>
    <col min="8058" max="8058" customWidth="1" width="8"/>
    <col min="8059" max="8059" customWidth="1" width="8"/>
    <col min="8060" max="8060" customWidth="1" width="8"/>
    <col min="8061" max="8061" customWidth="1" width="8"/>
    <col min="8062" max="8062" customWidth="1" width="8"/>
    <col min="8063" max="8063" customWidth="1" width="8"/>
    <col min="8064" max="8064" customWidth="1" width="8"/>
    <col min="8065" max="8065" customWidth="1" width="8"/>
    <col min="8066" max="8066" customWidth="1" width="8"/>
    <col min="8067" max="8067" customWidth="1" width="8"/>
    <col min="8068" max="8068" customWidth="1" width="8"/>
    <col min="8069" max="8069" customWidth="1" width="8"/>
    <col min="8070" max="8070" customWidth="1" width="8"/>
    <col min="8071" max="8071" customWidth="1" width="8"/>
    <col min="8072" max="8072" customWidth="1" width="8"/>
    <col min="8073" max="8073" customWidth="1" width="8"/>
    <col min="8074" max="8074" customWidth="1" width="8"/>
    <col min="8075" max="8075" customWidth="1" width="8"/>
    <col min="8076" max="8076" customWidth="1" width="8"/>
    <col min="8077" max="8077" customWidth="1" width="8"/>
    <col min="8078" max="8078" customWidth="1" width="8"/>
    <col min="8079" max="8079" customWidth="1" width="8"/>
    <col min="8080" max="8080" customWidth="1" width="8"/>
    <col min="8081" max="8081" customWidth="1" width="8"/>
    <col min="8082" max="8082" customWidth="1" width="8"/>
    <col min="8083" max="8083" customWidth="1" width="8"/>
    <col min="8084" max="8084" customWidth="1" width="8"/>
    <col min="8085" max="8085" customWidth="1" width="8"/>
    <col min="8086" max="8086" customWidth="1" width="8"/>
    <col min="8087" max="8087" customWidth="1" width="8"/>
    <col min="8088" max="8088" customWidth="1" width="8"/>
    <col min="8089" max="8089" customWidth="1" width="8"/>
    <col min="8090" max="8090" customWidth="1" width="8"/>
    <col min="8091" max="8091" customWidth="1" width="8"/>
    <col min="8092" max="8092" customWidth="1" width="8"/>
    <col min="8093" max="8093" customWidth="1" width="8"/>
    <col min="8094" max="8094" customWidth="1" width="8"/>
    <col min="8095" max="8095" customWidth="1" width="8"/>
    <col min="8096" max="8096" customWidth="1" width="8"/>
    <col min="8097" max="8097" customWidth="1" width="8"/>
    <col min="8098" max="8098" customWidth="1" width="8"/>
    <col min="8099" max="8099" customWidth="1" width="8"/>
    <col min="8100" max="8100" customWidth="1" width="8"/>
    <col min="8101" max="8101" customWidth="1" width="8"/>
    <col min="8102" max="8102" customWidth="1" width="8"/>
    <col min="8103" max="8103" customWidth="1" width="8"/>
    <col min="8104" max="8104" customWidth="1" width="8"/>
    <col min="8105" max="8105" customWidth="1" width="8"/>
    <col min="8106" max="8106" customWidth="1" width="8"/>
    <col min="8107" max="8107" customWidth="1" width="8"/>
    <col min="8108" max="8108" customWidth="1" width="8"/>
    <col min="8109" max="8109" customWidth="1" width="8"/>
    <col min="8110" max="8110" customWidth="1" width="8"/>
    <col min="8111" max="8111" customWidth="1" width="8"/>
    <col min="8112" max="8112" customWidth="1" width="8"/>
    <col min="8113" max="8113" customWidth="1" width="8"/>
    <col min="8114" max="8114" customWidth="1" width="8"/>
    <col min="8115" max="8115" customWidth="1" width="8"/>
    <col min="8116" max="8116" customWidth="1" width="8"/>
    <col min="8117" max="8117" customWidth="1" width="8"/>
    <col min="8118" max="8118" customWidth="1" width="8"/>
    <col min="8119" max="8119" customWidth="1" width="8"/>
    <col min="8120" max="8120" customWidth="1" width="8"/>
    <col min="8121" max="8121" customWidth="1" width="8"/>
    <col min="8122" max="8122" customWidth="1" width="8"/>
    <col min="8123" max="8123" customWidth="1" width="8"/>
    <col min="8124" max="8124" customWidth="1" width="8"/>
    <col min="8125" max="8125" customWidth="1" width="8"/>
    <col min="8126" max="8126" customWidth="1" width="8"/>
    <col min="8127" max="8127" customWidth="1" width="8"/>
    <col min="8128" max="8128" customWidth="1" width="8"/>
    <col min="8129" max="8129" customWidth="1" width="8"/>
    <col min="8130" max="8130" customWidth="1" width="8"/>
    <col min="8131" max="8131" customWidth="1" width="8"/>
    <col min="8132" max="8132" customWidth="1" width="8"/>
    <col min="8133" max="8133" customWidth="1" width="8"/>
    <col min="8134" max="8134" customWidth="1" width="8"/>
    <col min="8135" max="8135" customWidth="1" width="8"/>
    <col min="8136" max="8136" customWidth="1" width="8"/>
    <col min="8137" max="8137" customWidth="1" width="8"/>
    <col min="8138" max="8138" customWidth="1" width="8"/>
    <col min="8139" max="8139" customWidth="1" width="8"/>
    <col min="8140" max="8140" customWidth="1" width="8"/>
    <col min="8141" max="8141" customWidth="1" width="8"/>
    <col min="8142" max="8142" customWidth="1" width="8"/>
    <col min="8143" max="8143" customWidth="1" width="8"/>
    <col min="8144" max="8144" customWidth="1" width="8"/>
    <col min="8145" max="8145" customWidth="1" width="8"/>
    <col min="8146" max="8146" customWidth="1" width="8"/>
    <col min="8147" max="8147" customWidth="1" width="8"/>
    <col min="8148" max="8148" customWidth="1" width="8"/>
    <col min="8149" max="8149" customWidth="1" width="8"/>
    <col min="8150" max="8150" customWidth="1" width="8"/>
    <col min="8151" max="8151" customWidth="1" width="8"/>
    <col min="8152" max="8152" customWidth="1" width="8"/>
    <col min="8153" max="8153" customWidth="1" width="8"/>
    <col min="8154" max="8154" customWidth="1" width="8"/>
    <col min="8155" max="8155" customWidth="1" width="8"/>
    <col min="8156" max="8156" customWidth="1" width="8"/>
    <col min="8157" max="8157" customWidth="1" width="8"/>
    <col min="8158" max="8158" customWidth="1" width="8"/>
    <col min="8159" max="8159" customWidth="1" width="8"/>
    <col min="8160" max="8160" customWidth="1" width="8"/>
    <col min="8161" max="8161" customWidth="1" width="8"/>
    <col min="8162" max="8162" customWidth="1" width="8"/>
    <col min="8163" max="8163" customWidth="1" width="8"/>
    <col min="8164" max="8164" customWidth="1" width="8"/>
    <col min="8165" max="8165" customWidth="1" width="8"/>
    <col min="8166" max="8166" customWidth="1" width="8"/>
    <col min="8167" max="8167" customWidth="1" width="8"/>
    <col min="8168" max="8168" customWidth="1" width="8"/>
    <col min="8169" max="8169" customWidth="1" width="8"/>
    <col min="8170" max="8170" customWidth="1" width="8"/>
    <col min="8171" max="8171" customWidth="1" width="8"/>
    <col min="8172" max="8172" customWidth="1" width="8"/>
    <col min="8173" max="8173" customWidth="1" width="8"/>
    <col min="8174" max="8174" customWidth="1" width="8"/>
    <col min="8175" max="8175" customWidth="1" width="8"/>
    <col min="8176" max="8176" customWidth="1" width="8"/>
    <col min="8177" max="8177" customWidth="1" width="8"/>
    <col min="8178" max="8178" customWidth="1" width="8"/>
    <col min="8179" max="8179" customWidth="1" width="8"/>
    <col min="8180" max="8180" customWidth="1" width="8"/>
    <col min="8181" max="8181" customWidth="1" width="8"/>
    <col min="8182" max="8182" customWidth="1" width="8"/>
    <col min="8183" max="8183" customWidth="1" width="8"/>
    <col min="8184" max="8184" customWidth="1" width="8"/>
    <col min="8185" max="8185" customWidth="1" width="8"/>
    <col min="8186" max="8186" customWidth="1" width="8"/>
    <col min="8187" max="8187" customWidth="1" width="8"/>
    <col min="8188" max="8188" customWidth="1" width="8"/>
    <col min="8189" max="8189" customWidth="1" width="8"/>
    <col min="8190" max="8190" customWidth="1" width="8"/>
    <col min="8191" max="8191" customWidth="1" width="8"/>
    <col min="8192" max="8192" customWidth="1" width="8"/>
    <col min="8193" max="8193" customWidth="1" width="8"/>
    <col min="8194" max="8194" customWidth="1" width="8"/>
    <col min="8195" max="8195" customWidth="1" width="8"/>
    <col min="8196" max="8196" customWidth="1" width="8"/>
    <col min="8197" max="8197" customWidth="1" width="8"/>
    <col min="8198" max="8198" customWidth="1" width="8"/>
    <col min="8199" max="8199" customWidth="1" width="8"/>
    <col min="8200" max="8200" customWidth="1" width="8"/>
    <col min="8201" max="8201" customWidth="1" width="8"/>
    <col min="8202" max="8202" customWidth="1" width="8"/>
    <col min="8203" max="8203" customWidth="1" width="8"/>
    <col min="8204" max="8204" customWidth="1" width="8"/>
    <col min="8205" max="8205" customWidth="1" width="8"/>
    <col min="8206" max="8206" customWidth="1" width="8"/>
    <col min="8207" max="8207" customWidth="1" width="8"/>
    <col min="8208" max="8208" customWidth="1" width="8"/>
    <col min="8209" max="8209" customWidth="1" width="8"/>
    <col min="8210" max="8210" customWidth="1" width="8"/>
    <col min="8211" max="8211" customWidth="1" width="8"/>
    <col min="8212" max="8212" customWidth="1" width="8"/>
    <col min="8213" max="8213" customWidth="1" width="8"/>
    <col min="8214" max="8214" customWidth="1" width="8"/>
    <col min="8215" max="8215" customWidth="1" width="8"/>
    <col min="8216" max="8216" customWidth="1" width="8"/>
    <col min="8217" max="8217" customWidth="1" width="8"/>
    <col min="8218" max="8218" customWidth="1" width="8"/>
    <col min="8219" max="8219" customWidth="1" width="8"/>
    <col min="8220" max="8220" customWidth="1" width="8"/>
    <col min="8221" max="8221" customWidth="1" width="8"/>
    <col min="8222" max="8222" customWidth="1" width="8"/>
    <col min="8223" max="8223" customWidth="1" width="8"/>
    <col min="8224" max="8224" customWidth="1" width="8"/>
    <col min="8225" max="8225" customWidth="1" width="8"/>
    <col min="8226" max="8226" customWidth="1" width="8"/>
    <col min="8227" max="8227" customWidth="1" width="8"/>
    <col min="8228" max="8228" customWidth="1" width="8"/>
    <col min="8229" max="8229" customWidth="1" width="8"/>
    <col min="8230" max="8230" customWidth="1" width="8"/>
    <col min="8231" max="8231" customWidth="1" width="8"/>
    <col min="8232" max="8232" customWidth="1" width="8"/>
    <col min="8233" max="8233" customWidth="1" width="8"/>
    <col min="8234" max="8234" customWidth="1" width="8"/>
    <col min="8235" max="8235" customWidth="1" width="8"/>
    <col min="8236" max="8236" customWidth="1" width="8"/>
    <col min="8237" max="8237" customWidth="1" width="8"/>
    <col min="8238" max="8238" customWidth="1" width="8"/>
    <col min="8239" max="8239" customWidth="1" width="8"/>
    <col min="8240" max="8240" customWidth="1" width="8"/>
    <col min="8241" max="8241" customWidth="1" width="8"/>
    <col min="8242" max="8242" customWidth="1" width="8"/>
    <col min="8243" max="8243" customWidth="1" width="8"/>
    <col min="8244" max="8244" customWidth="1" width="8"/>
    <col min="8245" max="8245" customWidth="1" width="8"/>
    <col min="8246" max="8246" customWidth="1" width="8"/>
    <col min="8247" max="8247" customWidth="1" width="8"/>
    <col min="8248" max="8248" customWidth="1" width="8"/>
    <col min="8249" max="8249" customWidth="1" width="8"/>
    <col min="8250" max="8250" customWidth="1" width="8"/>
    <col min="8251" max="8251" customWidth="1" width="8"/>
    <col min="8252" max="8252" customWidth="1" width="8"/>
    <col min="8253" max="8253" customWidth="1" width="8"/>
    <col min="8254" max="8254" customWidth="1" width="8"/>
    <col min="8255" max="8255" customWidth="1" width="8"/>
    <col min="8256" max="8256" customWidth="1" width="8"/>
    <col min="8257" max="8257" customWidth="1" width="8"/>
    <col min="8258" max="8258" customWidth="1" width="8"/>
    <col min="8259" max="8259" customWidth="1" width="8"/>
    <col min="8260" max="8260" customWidth="1" width="8"/>
    <col min="8261" max="8261" customWidth="1" width="8"/>
    <col min="8262" max="8262" customWidth="1" width="8"/>
    <col min="8263" max="8263" customWidth="1" width="8"/>
    <col min="8264" max="8264" customWidth="1" width="8"/>
    <col min="8265" max="8265" customWidth="1" width="8"/>
    <col min="8266" max="8266" customWidth="1" width="8"/>
    <col min="8267" max="8267" customWidth="1" width="8"/>
    <col min="8268" max="8268" customWidth="1" width="8"/>
    <col min="8269" max="8269" customWidth="1" width="8"/>
    <col min="8270" max="8270" customWidth="1" width="8"/>
    <col min="8271" max="8271" customWidth="1" width="8"/>
    <col min="8272" max="8272" customWidth="1" width="8"/>
    <col min="8273" max="8273" customWidth="1" width="8"/>
    <col min="8274" max="8274" customWidth="1" width="8"/>
    <col min="8275" max="8275" customWidth="1" width="8"/>
    <col min="8276" max="8276" customWidth="1" width="8"/>
    <col min="8277" max="8277" customWidth="1" width="8"/>
    <col min="8278" max="8278" customWidth="1" width="8"/>
    <col min="8279" max="8279" customWidth="1" width="8"/>
    <col min="8280" max="8280" customWidth="1" width="8"/>
    <col min="8281" max="8281" customWidth="1" width="8"/>
    <col min="8282" max="8282" customWidth="1" width="8"/>
    <col min="8283" max="8283" customWidth="1" width="8"/>
    <col min="8284" max="8284" customWidth="1" width="8"/>
    <col min="8285" max="8285" customWidth="1" width="8"/>
    <col min="8286" max="8286" customWidth="1" width="8"/>
    <col min="8287" max="8287" customWidth="1" width="8"/>
    <col min="8288" max="8288" customWidth="1" width="8"/>
    <col min="8289" max="8289" customWidth="1" width="8"/>
    <col min="8290" max="8290" customWidth="1" width="8"/>
    <col min="8291" max="8291" customWidth="1" width="8"/>
    <col min="8292" max="8292" customWidth="1" width="8"/>
    <col min="8293" max="8293" customWidth="1" width="8"/>
    <col min="8294" max="8294" customWidth="1" width="8"/>
    <col min="8295" max="8295" customWidth="1" width="8"/>
    <col min="8296" max="8296" customWidth="1" width="8"/>
    <col min="8297" max="8297" customWidth="1" width="8"/>
    <col min="8298" max="8298" customWidth="1" width="8"/>
    <col min="8299" max="8299" customWidth="1" width="8"/>
    <col min="8300" max="8300" customWidth="1" width="8"/>
    <col min="8301" max="8301" customWidth="1" width="8"/>
    <col min="8302" max="8302" customWidth="1" width="8"/>
    <col min="8303" max="8303" customWidth="1" width="8"/>
    <col min="8304" max="8304" customWidth="1" width="8"/>
    <col min="8305" max="8305" customWidth="1" width="8"/>
    <col min="8306" max="8306" customWidth="1" width="8"/>
    <col min="8307" max="8307" customWidth="1" width="8"/>
    <col min="8308" max="8308" customWidth="1" width="8"/>
    <col min="8309" max="8309" customWidth="1" width="8"/>
    <col min="8310" max="8310" customWidth="1" width="8"/>
    <col min="8311" max="8311" customWidth="1" width="8"/>
    <col min="8312" max="8312" customWidth="1" width="8"/>
    <col min="8313" max="8313" customWidth="1" width="8"/>
    <col min="8314" max="8314" customWidth="1" width="8"/>
    <col min="8315" max="8315" customWidth="1" width="8"/>
    <col min="8316" max="8316" customWidth="1" width="8"/>
    <col min="8317" max="8317" customWidth="1" width="8"/>
    <col min="8318" max="8318" customWidth="1" width="8"/>
    <col min="8319" max="8319" customWidth="1" width="8"/>
    <col min="8320" max="8320" customWidth="1" width="8"/>
    <col min="8321" max="8321" customWidth="1" width="8"/>
    <col min="8322" max="8322" customWidth="1" width="8"/>
    <col min="8323" max="8323" customWidth="1" width="8"/>
    <col min="8324" max="8324" customWidth="1" width="8"/>
    <col min="8325" max="8325" customWidth="1" width="8"/>
    <col min="8326" max="8326" customWidth="1" width="8"/>
    <col min="8327" max="8327" customWidth="1" width="8"/>
    <col min="8328" max="8328" customWidth="1" width="8"/>
    <col min="8329" max="8329" customWidth="1" width="8"/>
    <col min="8330" max="8330" customWidth="1" width="8"/>
    <col min="8331" max="8331" customWidth="1" width="8"/>
    <col min="8332" max="8332" customWidth="1" width="8"/>
    <col min="8333" max="8333" customWidth="1" width="8"/>
    <col min="8334" max="8334" customWidth="1" width="8"/>
    <col min="8335" max="8335" customWidth="1" width="8"/>
    <col min="8336" max="8336" customWidth="1" width="8"/>
    <col min="8337" max="8337" customWidth="1" width="8"/>
    <col min="8338" max="8338" customWidth="1" width="8"/>
    <col min="8339" max="8339" customWidth="1" width="8"/>
    <col min="8340" max="8340" customWidth="1" width="8"/>
    <col min="8341" max="8341" customWidth="1" width="8"/>
    <col min="8342" max="8342" customWidth="1" width="8"/>
    <col min="8343" max="8343" customWidth="1" width="8"/>
    <col min="8344" max="8344" customWidth="1" width="8"/>
    <col min="8345" max="8345" customWidth="1" width="8"/>
    <col min="8346" max="8346" customWidth="1" width="8"/>
    <col min="8347" max="8347" customWidth="1" width="8"/>
    <col min="8348" max="8348" customWidth="1" width="8"/>
    <col min="8349" max="8349" customWidth="1" width="8"/>
    <col min="8350" max="8350" customWidth="1" width="8"/>
    <col min="8351" max="8351" customWidth="1" width="8"/>
    <col min="8352" max="8352" customWidth="1" width="8"/>
    <col min="8353" max="8353" customWidth="1" width="8"/>
    <col min="8354" max="8354" customWidth="1" width="8"/>
    <col min="8355" max="8355" customWidth="1" width="8"/>
    <col min="8356" max="8356" customWidth="1" width="8"/>
    <col min="8357" max="8357" customWidth="1" width="8"/>
    <col min="8358" max="8358" customWidth="1" width="8"/>
    <col min="8359" max="8359" customWidth="1" width="8"/>
    <col min="8360" max="8360" customWidth="1" width="8"/>
    <col min="8361" max="8361" customWidth="1" width="8"/>
    <col min="8362" max="8362" customWidth="1" width="8"/>
    <col min="8363" max="8363" customWidth="1" width="8"/>
    <col min="8364" max="8364" customWidth="1" width="8"/>
    <col min="8365" max="8365" customWidth="1" width="8"/>
    <col min="8366" max="8366" customWidth="1" width="8"/>
    <col min="8367" max="8367" customWidth="1" width="8"/>
    <col min="8368" max="8368" customWidth="1" width="8"/>
    <col min="8369" max="8369" customWidth="1" width="8"/>
    <col min="8370" max="8370" customWidth="1" width="8"/>
    <col min="8371" max="8371" customWidth="1" width="8"/>
    <col min="8372" max="8372" customWidth="1" width="8"/>
    <col min="8373" max="8373" customWidth="1" width="8"/>
    <col min="8374" max="8374" customWidth="1" width="8"/>
    <col min="8375" max="8375" customWidth="1" width="8"/>
    <col min="8376" max="8376" customWidth="1" width="8"/>
    <col min="8377" max="8377" customWidth="1" width="8"/>
    <col min="8378" max="8378" customWidth="1" width="8"/>
    <col min="8379" max="8379" customWidth="1" width="8"/>
    <col min="8380" max="8380" customWidth="1" width="8"/>
    <col min="8381" max="8381" customWidth="1" width="8"/>
    <col min="8382" max="8382" customWidth="1" width="8"/>
    <col min="8383" max="8383" customWidth="1" width="8"/>
    <col min="8384" max="8384" customWidth="1" width="8"/>
    <col min="8385" max="8385" customWidth="1" width="8"/>
    <col min="8386" max="8386" customWidth="1" width="8"/>
    <col min="8387" max="8387" customWidth="1" width="8"/>
    <col min="8388" max="8388" customWidth="1" width="8"/>
    <col min="8389" max="8389" customWidth="1" width="8"/>
    <col min="8390" max="8390" customWidth="1" width="8"/>
    <col min="8391" max="8391" customWidth="1" width="8"/>
    <col min="8392" max="8392" customWidth="1" width="8"/>
    <col min="8393" max="8393" customWidth="1" width="8"/>
    <col min="8394" max="8394" customWidth="1" width="8"/>
    <col min="8395" max="8395" customWidth="1" width="8"/>
    <col min="8396" max="8396" customWidth="1" width="8"/>
    <col min="8397" max="8397" customWidth="1" width="8"/>
    <col min="8398" max="8398" customWidth="1" width="8"/>
    <col min="8399" max="8399" customWidth="1" width="8"/>
    <col min="8400" max="8400" customWidth="1" width="8"/>
    <col min="8401" max="8401" customWidth="1" width="8"/>
    <col min="8402" max="8402" customWidth="1" width="8"/>
    <col min="8403" max="8403" customWidth="1" width="8"/>
    <col min="8404" max="8404" customWidth="1" width="8"/>
    <col min="8405" max="8405" customWidth="1" width="8"/>
    <col min="8406" max="8406" customWidth="1" width="8"/>
    <col min="8407" max="8407" customWidth="1" width="8"/>
    <col min="8408" max="8408" customWidth="1" width="8"/>
    <col min="8409" max="8409" customWidth="1" width="8"/>
    <col min="8410" max="8410" customWidth="1" width="8"/>
    <col min="8411" max="8411" customWidth="1" width="8"/>
    <col min="8412" max="8412" customWidth="1" width="8"/>
    <col min="8413" max="8413" customWidth="1" width="8"/>
    <col min="8414" max="8414" customWidth="1" width="8"/>
    <col min="8415" max="8415" customWidth="1" width="8"/>
    <col min="8416" max="8416" customWidth="1" width="8"/>
    <col min="8417" max="8417" customWidth="1" width="8"/>
    <col min="8418" max="8418" customWidth="1" width="8"/>
    <col min="8419" max="8419" customWidth="1" width="8"/>
    <col min="8420" max="8420" customWidth="1" width="8"/>
    <col min="8421" max="8421" customWidth="1" width="8"/>
    <col min="8422" max="8422" customWidth="1" width="8"/>
    <col min="8423" max="8423" customWidth="1" width="8"/>
    <col min="8424" max="8424" customWidth="1" width="8"/>
    <col min="8425" max="8425" customWidth="1" width="8"/>
    <col min="8426" max="8426" customWidth="1" width="8"/>
    <col min="8427" max="8427" customWidth="1" width="8"/>
    <col min="8428" max="8428" customWidth="1" width="8"/>
    <col min="8429" max="8429" customWidth="1" width="8"/>
    <col min="8430" max="8430" customWidth="1" width="8"/>
    <col min="8431" max="8431" customWidth="1" width="8"/>
    <col min="8432" max="8432" customWidth="1" width="8"/>
    <col min="8433" max="8433" customWidth="1" width="8"/>
    <col min="8434" max="8434" customWidth="1" width="8"/>
    <col min="8435" max="8435" customWidth="1" width="8"/>
    <col min="8436" max="8436" customWidth="1" width="8"/>
    <col min="8437" max="8437" customWidth="1" width="8"/>
    <col min="8438" max="8438" customWidth="1" width="8"/>
    <col min="8439" max="8439" customWidth="1" width="8"/>
    <col min="8440" max="8440" customWidth="1" width="8"/>
    <col min="8441" max="8441" customWidth="1" width="8"/>
    <col min="8442" max="8442" customWidth="1" width="8"/>
    <col min="8443" max="8443" customWidth="1" width="8"/>
    <col min="8444" max="8444" customWidth="1" width="8"/>
    <col min="8445" max="8445" customWidth="1" width="8"/>
    <col min="8446" max="8446" customWidth="1" width="8"/>
    <col min="8447" max="8447" customWidth="1" width="8"/>
    <col min="8448" max="8448" customWidth="1" width="8"/>
    <col min="8449" max="8449" customWidth="1" width="8"/>
    <col min="8450" max="8450" customWidth="1" width="8"/>
    <col min="8451" max="8451" customWidth="1" width="8"/>
    <col min="8452" max="8452" customWidth="1" width="8"/>
    <col min="8453" max="8453" customWidth="1" width="8"/>
    <col min="8454" max="8454" customWidth="1" width="8"/>
    <col min="8455" max="8455" customWidth="1" width="8"/>
    <col min="8456" max="8456" customWidth="1" width="8"/>
    <col min="8457" max="8457" customWidth="1" width="8"/>
    <col min="8458" max="8458" customWidth="1" width="8"/>
    <col min="8459" max="8459" customWidth="1" width="8"/>
    <col min="8460" max="8460" customWidth="1" width="8"/>
    <col min="8461" max="8461" customWidth="1" width="8"/>
    <col min="8462" max="8462" customWidth="1" width="8"/>
    <col min="8463" max="8463" customWidth="1" width="8"/>
    <col min="8464" max="8464" customWidth="1" width="8"/>
    <col min="8465" max="8465" customWidth="1" width="8"/>
    <col min="8466" max="8466" customWidth="1" width="8"/>
    <col min="8467" max="8467" customWidth="1" width="8"/>
    <col min="8468" max="8468" customWidth="1" width="8"/>
    <col min="8469" max="8469" customWidth="1" width="8"/>
    <col min="8470" max="8470" customWidth="1" width="8"/>
    <col min="8471" max="8471" customWidth="1" width="8"/>
    <col min="8472" max="8472" customWidth="1" width="8"/>
    <col min="8473" max="8473" customWidth="1" width="8"/>
    <col min="8474" max="8474" customWidth="1" width="8"/>
    <col min="8475" max="8475" customWidth="1" width="8"/>
    <col min="8476" max="8476" customWidth="1" width="8"/>
    <col min="8477" max="8477" customWidth="1" width="8"/>
    <col min="8478" max="8478" customWidth="1" width="8"/>
    <col min="8479" max="8479" customWidth="1" width="8"/>
    <col min="8480" max="8480" customWidth="1" width="8"/>
    <col min="8481" max="8481" customWidth="1" width="8"/>
    <col min="8482" max="8482" customWidth="1" width="8"/>
    <col min="8483" max="8483" customWidth="1" width="8"/>
    <col min="8484" max="8484" customWidth="1" width="8"/>
    <col min="8485" max="8485" customWidth="1" width="8"/>
    <col min="8486" max="8486" customWidth="1" width="8"/>
    <col min="8487" max="8487" customWidth="1" width="8"/>
    <col min="8488" max="8488" customWidth="1" width="8"/>
    <col min="8489" max="8489" customWidth="1" width="8"/>
    <col min="8490" max="8490" customWidth="1" width="8"/>
    <col min="8491" max="8491" customWidth="1" width="8"/>
    <col min="8492" max="8492" customWidth="1" width="8"/>
    <col min="8493" max="8493" customWidth="1" width="8"/>
    <col min="8494" max="8494" customWidth="1" width="8"/>
    <col min="8495" max="8495" customWidth="1" width="8"/>
    <col min="8496" max="8496" customWidth="1" width="8"/>
    <col min="8497" max="8497" customWidth="1" width="8"/>
    <col min="8498" max="8498" customWidth="1" width="8"/>
    <col min="8499" max="8499" customWidth="1" width="8"/>
    <col min="8500" max="8500" customWidth="1" width="8"/>
    <col min="8501" max="8501" customWidth="1" width="8"/>
    <col min="8502" max="8502" customWidth="1" width="8"/>
    <col min="8503" max="8503" customWidth="1" width="8"/>
    <col min="8504" max="8504" customWidth="1" width="8"/>
    <col min="8505" max="8505" customWidth="1" width="8"/>
    <col min="8506" max="8506" customWidth="1" width="8"/>
    <col min="8507" max="8507" customWidth="1" width="8"/>
    <col min="8508" max="8508" customWidth="1" width="8"/>
    <col min="8509" max="8509" customWidth="1" width="8"/>
    <col min="8510" max="8510" customWidth="1" width="8"/>
    <col min="8511" max="8511" customWidth="1" width="8"/>
    <col min="8512" max="8512" customWidth="1" width="8"/>
    <col min="8513" max="8513" customWidth="1" width="8"/>
    <col min="8514" max="8514" customWidth="1" width="8"/>
    <col min="8515" max="8515" customWidth="1" width="8"/>
    <col min="8516" max="8516" customWidth="1" width="8"/>
    <col min="8517" max="8517" customWidth="1" width="8"/>
    <col min="8518" max="8518" customWidth="1" width="8"/>
    <col min="8519" max="8519" customWidth="1" width="8"/>
    <col min="8520" max="8520" customWidth="1" width="8"/>
    <col min="8521" max="8521" customWidth="1" width="8"/>
    <col min="8522" max="8522" customWidth="1" width="8"/>
    <col min="8523" max="8523" customWidth="1" width="8"/>
    <col min="8524" max="8524" customWidth="1" width="8"/>
    <col min="8525" max="8525" customWidth="1" width="8"/>
    <col min="8526" max="8526" customWidth="1" width="8"/>
    <col min="8527" max="8527" customWidth="1" width="8"/>
    <col min="8528" max="8528" customWidth="1" width="8"/>
    <col min="8529" max="8529" customWidth="1" width="8"/>
    <col min="8530" max="8530" customWidth="1" width="8"/>
    <col min="8531" max="8531" customWidth="1" width="8"/>
    <col min="8532" max="8532" customWidth="1" width="8"/>
    <col min="8533" max="8533" customWidth="1" width="8"/>
    <col min="8534" max="8534" customWidth="1" width="8"/>
    <col min="8535" max="8535" customWidth="1" width="8"/>
    <col min="8536" max="8536" customWidth="1" width="8"/>
    <col min="8537" max="8537" customWidth="1" width="8"/>
    <col min="8538" max="8538" customWidth="1" width="8"/>
    <col min="8539" max="8539" customWidth="1" width="8"/>
    <col min="8540" max="8540" customWidth="1" width="8"/>
    <col min="8541" max="8541" customWidth="1" width="8"/>
    <col min="8542" max="8542" customWidth="1" width="8"/>
    <col min="8543" max="8543" customWidth="1" width="8"/>
    <col min="8544" max="8544" customWidth="1" width="8"/>
    <col min="8545" max="8545" customWidth="1" width="8"/>
    <col min="8546" max="8546" customWidth="1" width="8"/>
    <col min="8547" max="8547" customWidth="1" width="8"/>
    <col min="8548" max="8548" customWidth="1" width="8"/>
    <col min="8549" max="8549" customWidth="1" width="8"/>
    <col min="8550" max="8550" customWidth="1" width="8"/>
    <col min="8551" max="8551" customWidth="1" width="8"/>
    <col min="8552" max="8552" customWidth="1" width="8"/>
    <col min="8553" max="8553" customWidth="1" width="8"/>
    <col min="8554" max="8554" customWidth="1" width="8"/>
    <col min="8555" max="8555" customWidth="1" width="8"/>
    <col min="8556" max="8556" customWidth="1" width="8"/>
    <col min="8557" max="8557" customWidth="1" width="8"/>
    <col min="8558" max="8558" customWidth="1" width="8"/>
    <col min="8559" max="8559" customWidth="1" width="8"/>
    <col min="8560" max="8560" customWidth="1" width="8"/>
    <col min="8561" max="8561" customWidth="1" width="8"/>
    <col min="8562" max="8562" customWidth="1" width="8"/>
    <col min="8563" max="8563" customWidth="1" width="8"/>
    <col min="8564" max="8564" customWidth="1" width="8"/>
    <col min="8565" max="8565" customWidth="1" width="8"/>
    <col min="8566" max="8566" customWidth="1" width="8"/>
    <col min="8567" max="8567" customWidth="1" width="8"/>
    <col min="8568" max="8568" customWidth="1" width="8"/>
    <col min="8569" max="8569" customWidth="1" width="8"/>
    <col min="8570" max="8570" customWidth="1" width="8"/>
    <col min="8571" max="8571" customWidth="1" width="8"/>
    <col min="8572" max="8572" customWidth="1" width="8"/>
    <col min="8573" max="8573" customWidth="1" width="8"/>
    <col min="8574" max="8574" customWidth="1" width="8"/>
    <col min="8575" max="8575" customWidth="1" width="8"/>
    <col min="8576" max="8576" customWidth="1" width="8"/>
    <col min="8577" max="8577" customWidth="1" width="8"/>
    <col min="8578" max="8578" customWidth="1" width="8"/>
    <col min="8579" max="8579" customWidth="1" width="8"/>
    <col min="8580" max="8580" customWidth="1" width="8"/>
    <col min="8581" max="8581" customWidth="1" width="8"/>
    <col min="8582" max="8582" customWidth="1" width="8"/>
    <col min="8583" max="8583" customWidth="1" width="8"/>
    <col min="8584" max="8584" customWidth="1" width="8"/>
    <col min="8585" max="8585" customWidth="1" width="8"/>
    <col min="8586" max="8586" customWidth="1" width="8"/>
    <col min="8587" max="8587" customWidth="1" width="8"/>
    <col min="8588" max="8588" customWidth="1" width="8"/>
    <col min="8589" max="8589" customWidth="1" width="8"/>
    <col min="8590" max="8590" customWidth="1" width="8"/>
    <col min="8591" max="8591" customWidth="1" width="8"/>
    <col min="8592" max="8592" customWidth="1" width="8"/>
    <col min="8593" max="8593" customWidth="1" width="8"/>
    <col min="8594" max="8594" customWidth="1" width="8"/>
    <col min="8595" max="8595" customWidth="1" width="8"/>
    <col min="8596" max="8596" customWidth="1" width="8"/>
    <col min="8597" max="8597" customWidth="1" width="8"/>
    <col min="8598" max="8598" customWidth="1" width="8"/>
    <col min="8599" max="8599" customWidth="1" width="8"/>
    <col min="8600" max="8600" customWidth="1" width="8"/>
    <col min="8601" max="8601" customWidth="1" width="8"/>
    <col min="8602" max="8602" customWidth="1" width="8"/>
    <col min="8603" max="8603" customWidth="1" width="8"/>
    <col min="8604" max="8604" customWidth="1" width="8"/>
    <col min="8605" max="8605" customWidth="1" width="8"/>
    <col min="8606" max="8606" customWidth="1" width="8"/>
    <col min="8607" max="8607" customWidth="1" width="8"/>
    <col min="8608" max="8608" customWidth="1" width="8"/>
    <col min="8609" max="8609" customWidth="1" width="8"/>
    <col min="8610" max="8610" customWidth="1" width="8"/>
    <col min="8611" max="8611" customWidth="1" width="8"/>
    <col min="8612" max="8612" customWidth="1" width="8"/>
    <col min="8613" max="8613" customWidth="1" width="8"/>
    <col min="8614" max="8614" customWidth="1" width="8"/>
    <col min="8615" max="8615" customWidth="1" width="8"/>
    <col min="8616" max="8616" customWidth="1" width="8"/>
    <col min="8617" max="8617" customWidth="1" width="8"/>
    <col min="8618" max="8618" customWidth="1" width="8"/>
    <col min="8619" max="8619" customWidth="1" width="8"/>
    <col min="8620" max="8620" customWidth="1" width="8"/>
    <col min="8621" max="8621" customWidth="1" width="8"/>
    <col min="8622" max="8622" customWidth="1" width="8"/>
    <col min="8623" max="8623" customWidth="1" width="8"/>
    <col min="8624" max="8624" customWidth="1" width="8"/>
    <col min="8625" max="8625" customWidth="1" width="8"/>
    <col min="8626" max="8626" customWidth="1" width="8"/>
    <col min="8627" max="8627" customWidth="1" width="8"/>
    <col min="8628" max="8628" customWidth="1" width="8"/>
    <col min="8629" max="8629" customWidth="1" width="8"/>
    <col min="8630" max="8630" customWidth="1" width="8"/>
    <col min="8631" max="8631" customWidth="1" width="8"/>
    <col min="8632" max="8632" customWidth="1" width="8"/>
    <col min="8633" max="8633" customWidth="1" width="8"/>
    <col min="8634" max="8634" customWidth="1" width="8"/>
    <col min="8635" max="8635" customWidth="1" width="8"/>
    <col min="8636" max="8636" customWidth="1" width="8"/>
    <col min="8637" max="8637" customWidth="1" width="8"/>
    <col min="8638" max="8638" customWidth="1" width="8"/>
    <col min="8639" max="8639" customWidth="1" width="8"/>
    <col min="8640" max="8640" customWidth="1" width="8"/>
    <col min="8641" max="8641" customWidth="1" width="8"/>
    <col min="8642" max="8642" customWidth="1" width="8"/>
    <col min="8643" max="8643" customWidth="1" width="8"/>
    <col min="8644" max="8644" customWidth="1" width="8"/>
    <col min="8645" max="8645" customWidth="1" width="8"/>
    <col min="8646" max="8646" customWidth="1" width="8"/>
    <col min="8647" max="8647" customWidth="1" width="8"/>
    <col min="8648" max="8648" customWidth="1" width="8"/>
    <col min="8649" max="8649" customWidth="1" width="8"/>
    <col min="8650" max="8650" customWidth="1" width="8"/>
    <col min="8651" max="8651" customWidth="1" width="8"/>
    <col min="8652" max="8652" customWidth="1" width="8"/>
    <col min="8653" max="8653" customWidth="1" width="8"/>
    <col min="8654" max="8654" customWidth="1" width="8"/>
    <col min="8655" max="8655" customWidth="1" width="8"/>
    <col min="8656" max="8656" customWidth="1" width="8"/>
    <col min="8657" max="8657" customWidth="1" width="8"/>
    <col min="8658" max="8658" customWidth="1" width="8"/>
    <col min="8659" max="8659" customWidth="1" width="8"/>
    <col min="8660" max="8660" customWidth="1" width="8"/>
    <col min="8661" max="8661" customWidth="1" width="8"/>
    <col min="8662" max="8662" customWidth="1" width="8"/>
    <col min="8663" max="8663" customWidth="1" width="8"/>
    <col min="8664" max="8664" customWidth="1" width="8"/>
    <col min="8665" max="8665" customWidth="1" width="8"/>
    <col min="8666" max="8666" customWidth="1" width="8"/>
    <col min="8667" max="8667" customWidth="1" width="8"/>
    <col min="8668" max="8668" customWidth="1" width="8"/>
    <col min="8669" max="8669" customWidth="1" width="8"/>
    <col min="8670" max="8670" customWidth="1" width="8"/>
    <col min="8671" max="8671" customWidth="1" width="8"/>
    <col min="8672" max="8672" customWidth="1" width="8"/>
    <col min="8673" max="8673" customWidth="1" width="8"/>
    <col min="8674" max="8674" customWidth="1" width="8"/>
    <col min="8675" max="8675" customWidth="1" width="8"/>
    <col min="8676" max="8676" customWidth="1" width="8"/>
    <col min="8677" max="8677" customWidth="1" width="8"/>
    <col min="8678" max="8678" customWidth="1" width="8"/>
    <col min="8679" max="8679" customWidth="1" width="8"/>
    <col min="8680" max="8680" customWidth="1" width="8"/>
    <col min="8681" max="8681" customWidth="1" width="8"/>
    <col min="8682" max="8682" customWidth="1" width="8"/>
    <col min="8683" max="8683" customWidth="1" width="8"/>
    <col min="8684" max="8684" customWidth="1" width="8"/>
    <col min="8685" max="8685" customWidth="1" width="8"/>
    <col min="8686" max="8686" customWidth="1" width="8"/>
    <col min="8687" max="8687" customWidth="1" width="8"/>
    <col min="8688" max="8688" customWidth="1" width="8"/>
    <col min="8689" max="8689" customWidth="1" width="8"/>
    <col min="8690" max="8690" customWidth="1" width="8"/>
    <col min="8691" max="8691" customWidth="1" width="8"/>
    <col min="8692" max="8692" customWidth="1" width="8"/>
    <col min="8693" max="8693" customWidth="1" width="8"/>
    <col min="8694" max="8694" customWidth="1" width="8"/>
    <col min="8695" max="8695" customWidth="1" width="8"/>
    <col min="8696" max="8696" customWidth="1" width="8"/>
    <col min="8697" max="8697" customWidth="1" width="8"/>
    <col min="8698" max="8698" customWidth="1" width="8"/>
    <col min="8699" max="8699" customWidth="1" width="8"/>
    <col min="8700" max="8700" customWidth="1" width="8"/>
    <col min="8701" max="8701" customWidth="1" width="8"/>
    <col min="8702" max="8702" customWidth="1" width="8"/>
    <col min="8703" max="8703" customWidth="1" width="8"/>
    <col min="8704" max="8704" customWidth="1" width="8"/>
    <col min="8705" max="8705" customWidth="1" width="8"/>
    <col min="8706" max="8706" customWidth="1" width="8"/>
    <col min="8707" max="8707" customWidth="1" width="8"/>
    <col min="8708" max="8708" customWidth="1" width="8"/>
    <col min="8709" max="8709" customWidth="1" width="8"/>
    <col min="8710" max="8710" customWidth="1" width="8"/>
    <col min="8711" max="8711" customWidth="1" width="8"/>
    <col min="8712" max="8712" customWidth="1" width="8"/>
    <col min="8713" max="8713" customWidth="1" width="8"/>
    <col min="8714" max="8714" customWidth="1" width="8"/>
    <col min="8715" max="8715" customWidth="1" width="8"/>
    <col min="8716" max="8716" customWidth="1" width="8"/>
    <col min="8717" max="8717" customWidth="1" width="8"/>
    <col min="8718" max="8718" customWidth="1" width="8"/>
    <col min="8719" max="8719" customWidth="1" width="8"/>
    <col min="8720" max="8720" customWidth="1" width="8"/>
    <col min="8721" max="8721" customWidth="1" width="8"/>
    <col min="8722" max="8722" customWidth="1" width="8"/>
    <col min="8723" max="8723" customWidth="1" width="8"/>
    <col min="8724" max="8724" customWidth="1" width="8"/>
    <col min="8725" max="8725" customWidth="1" width="8"/>
    <col min="8726" max="8726" customWidth="1" width="8"/>
    <col min="8727" max="8727" customWidth="1" width="8"/>
    <col min="8728" max="8728" customWidth="1" width="8"/>
    <col min="8729" max="8729" customWidth="1" width="8"/>
    <col min="8730" max="8730" customWidth="1" width="8"/>
    <col min="8731" max="8731" customWidth="1" width="8"/>
    <col min="8732" max="8732" customWidth="1" width="8"/>
    <col min="8733" max="8733" customWidth="1" width="8"/>
    <col min="8734" max="8734" customWidth="1" width="8"/>
    <col min="8735" max="8735" customWidth="1" width="8"/>
    <col min="8736" max="8736" customWidth="1" width="8"/>
    <col min="8737" max="8737" customWidth="1" width="8"/>
    <col min="8738" max="8738" customWidth="1" width="8"/>
    <col min="8739" max="8739" customWidth="1" width="8"/>
    <col min="8740" max="8740" customWidth="1" width="8"/>
    <col min="8741" max="8741" customWidth="1" width="8"/>
    <col min="8742" max="8742" customWidth="1" width="8"/>
    <col min="8743" max="8743" customWidth="1" width="8"/>
    <col min="8744" max="8744" customWidth="1" width="8"/>
    <col min="8745" max="8745" customWidth="1" width="8"/>
    <col min="8746" max="8746" customWidth="1" width="8"/>
    <col min="8747" max="8747" customWidth="1" width="8"/>
    <col min="8748" max="8748" customWidth="1" width="8"/>
    <col min="8749" max="8749" customWidth="1" width="8"/>
    <col min="8750" max="8750" customWidth="1" width="8"/>
    <col min="8751" max="8751" customWidth="1" width="8"/>
    <col min="8752" max="8752" customWidth="1" width="8"/>
    <col min="8753" max="8753" customWidth="1" width="8"/>
    <col min="8754" max="8754" customWidth="1" width="8"/>
    <col min="8755" max="8755" customWidth="1" width="8"/>
    <col min="8756" max="8756" customWidth="1" width="8"/>
    <col min="8757" max="8757" customWidth="1" width="8"/>
    <col min="8758" max="8758" customWidth="1" width="8"/>
    <col min="8759" max="8759" customWidth="1" width="8"/>
    <col min="8760" max="8760" customWidth="1" width="8"/>
    <col min="8761" max="8761" customWidth="1" width="8"/>
    <col min="8762" max="8762" customWidth="1" width="8"/>
    <col min="8763" max="8763" customWidth="1" width="8"/>
    <col min="8764" max="8764" customWidth="1" width="8"/>
    <col min="8765" max="8765" customWidth="1" width="8"/>
    <col min="8766" max="8766" customWidth="1" width="8"/>
    <col min="8767" max="8767" customWidth="1" width="8"/>
    <col min="8768" max="8768" customWidth="1" width="8"/>
    <col min="8769" max="8769" customWidth="1" width="8"/>
    <col min="8770" max="8770" customWidth="1" width="8"/>
    <col min="8771" max="8771" customWidth="1" width="8"/>
    <col min="8772" max="8772" customWidth="1" width="8"/>
    <col min="8773" max="8773" customWidth="1" width="8"/>
    <col min="8774" max="8774" customWidth="1" width="8"/>
    <col min="8775" max="8775" customWidth="1" width="8"/>
    <col min="8776" max="8776" customWidth="1" width="8"/>
    <col min="8777" max="8777" customWidth="1" width="8"/>
    <col min="8778" max="8778" customWidth="1" width="8"/>
    <col min="8779" max="8779" customWidth="1" width="8"/>
    <col min="8780" max="8780" customWidth="1" width="8"/>
    <col min="8781" max="8781" customWidth="1" width="8"/>
    <col min="8782" max="8782" customWidth="1" width="8"/>
    <col min="8783" max="8783" customWidth="1" width="8"/>
    <col min="8784" max="8784" customWidth="1" width="8"/>
    <col min="8785" max="8785" customWidth="1" width="8"/>
    <col min="8786" max="8786" customWidth="1" width="8"/>
    <col min="8787" max="8787" customWidth="1" width="8"/>
    <col min="8788" max="8788" customWidth="1" width="8"/>
    <col min="8789" max="8789" customWidth="1" width="8"/>
    <col min="8790" max="8790" customWidth="1" width="8"/>
    <col min="8791" max="8791" customWidth="1" width="8"/>
    <col min="8792" max="8792" customWidth="1" width="8"/>
    <col min="8793" max="8793" customWidth="1" width="8"/>
    <col min="8794" max="8794" customWidth="1" width="8"/>
    <col min="8795" max="8795" customWidth="1" width="8"/>
    <col min="8796" max="8796" customWidth="1" width="8"/>
    <col min="8797" max="8797" customWidth="1" width="8"/>
    <col min="8798" max="8798" customWidth="1" width="8"/>
    <col min="8799" max="8799" customWidth="1" width="8"/>
    <col min="8800" max="8800" customWidth="1" width="8"/>
    <col min="8801" max="8801" customWidth="1" width="8"/>
    <col min="8802" max="8802" customWidth="1" width="8"/>
    <col min="8803" max="8803" customWidth="1" width="8"/>
    <col min="8804" max="8804" customWidth="1" width="8"/>
    <col min="8805" max="8805" customWidth="1" width="8"/>
    <col min="8806" max="8806" customWidth="1" width="8"/>
    <col min="8807" max="8807" customWidth="1" width="8"/>
    <col min="8808" max="8808" customWidth="1" width="8"/>
    <col min="8809" max="8809" customWidth="1" width="8"/>
    <col min="8810" max="8810" customWidth="1" width="8"/>
    <col min="8811" max="8811" customWidth="1" width="8"/>
    <col min="8812" max="8812" customWidth="1" width="8"/>
    <col min="8813" max="8813" customWidth="1" width="8"/>
    <col min="8814" max="8814" customWidth="1" width="8"/>
    <col min="8815" max="8815" customWidth="1" width="8"/>
    <col min="8816" max="8816" customWidth="1" width="8"/>
    <col min="8817" max="8817" customWidth="1" width="8"/>
    <col min="8818" max="8818" customWidth="1" width="8"/>
    <col min="8819" max="8819" customWidth="1" width="8"/>
    <col min="8820" max="8820" customWidth="1" width="8"/>
    <col min="8821" max="8821" customWidth="1" width="8"/>
    <col min="8822" max="8822" customWidth="1" width="8"/>
    <col min="8823" max="8823" customWidth="1" width="8"/>
    <col min="8824" max="8824" customWidth="1" width="8"/>
    <col min="8825" max="8825" customWidth="1" width="8"/>
    <col min="8826" max="8826" customWidth="1" width="8"/>
    <col min="8827" max="8827" customWidth="1" width="8"/>
    <col min="8828" max="8828" customWidth="1" width="8"/>
    <col min="8829" max="8829" customWidth="1" width="8"/>
    <col min="8830" max="8830" customWidth="1" width="8"/>
    <col min="8831" max="8831" customWidth="1" width="8"/>
    <col min="8832" max="8832" customWidth="1" width="8"/>
    <col min="8833" max="8833" customWidth="1" width="8"/>
    <col min="8834" max="8834" customWidth="1" width="8"/>
    <col min="8835" max="8835" customWidth="1" width="8"/>
    <col min="8836" max="8836" customWidth="1" width="8"/>
    <col min="8837" max="8837" customWidth="1" width="8"/>
    <col min="8838" max="8838" customWidth="1" width="8"/>
    <col min="8839" max="8839" customWidth="1" width="8"/>
    <col min="8840" max="8840" customWidth="1" width="8"/>
    <col min="8841" max="8841" customWidth="1" width="8"/>
    <col min="8842" max="8842" customWidth="1" width="8"/>
    <col min="8843" max="8843" customWidth="1" width="8"/>
    <col min="8844" max="8844" customWidth="1" width="8"/>
    <col min="8845" max="8845" customWidth="1" width="8"/>
    <col min="8846" max="8846" customWidth="1" width="8"/>
    <col min="8847" max="8847" customWidth="1" width="8"/>
    <col min="8848" max="8848" customWidth="1" width="8"/>
    <col min="8849" max="8849" customWidth="1" width="8"/>
    <col min="8850" max="8850" customWidth="1" width="8"/>
    <col min="8851" max="8851" customWidth="1" width="8"/>
    <col min="8852" max="8852" customWidth="1" width="8"/>
    <col min="8853" max="8853" customWidth="1" width="8"/>
    <col min="8854" max="8854" customWidth="1" width="8"/>
    <col min="8855" max="8855" customWidth="1" width="8"/>
    <col min="8856" max="8856" customWidth="1" width="8"/>
    <col min="8857" max="8857" customWidth="1" width="8"/>
    <col min="8858" max="8858" customWidth="1" width="8"/>
    <col min="8859" max="8859" customWidth="1" width="8"/>
    <col min="8860" max="8860" customWidth="1" width="8"/>
    <col min="8861" max="8861" customWidth="1" width="8"/>
    <col min="8862" max="8862" customWidth="1" width="8"/>
    <col min="8863" max="8863" customWidth="1" width="8"/>
    <col min="8864" max="8864" customWidth="1" width="8"/>
    <col min="8865" max="8865" customWidth="1" width="8"/>
    <col min="8866" max="8866" customWidth="1" width="8"/>
    <col min="8867" max="8867" customWidth="1" width="8"/>
    <col min="8868" max="8868" customWidth="1" width="8"/>
    <col min="8869" max="8869" customWidth="1" width="8"/>
    <col min="8870" max="8870" customWidth="1" width="8"/>
    <col min="8871" max="8871" customWidth="1" width="8"/>
    <col min="8872" max="8872" customWidth="1" width="8"/>
    <col min="8873" max="8873" customWidth="1" width="8"/>
    <col min="8874" max="8874" customWidth="1" width="8"/>
    <col min="8875" max="8875" customWidth="1" width="8"/>
    <col min="8876" max="8876" customWidth="1" width="8"/>
    <col min="8877" max="8877" customWidth="1" width="8"/>
    <col min="8878" max="8878" customWidth="1" width="8"/>
    <col min="8879" max="8879" customWidth="1" width="8"/>
    <col min="8880" max="8880" customWidth="1" width="8"/>
    <col min="8881" max="8881" customWidth="1" width="8"/>
    <col min="8882" max="8882" customWidth="1" width="8"/>
    <col min="8883" max="8883" customWidth="1" width="8"/>
    <col min="8884" max="8884" customWidth="1" width="8"/>
    <col min="8885" max="8885" customWidth="1" width="8"/>
    <col min="8886" max="8886" customWidth="1" width="8"/>
    <col min="8887" max="8887" customWidth="1" width="8"/>
    <col min="8888" max="8888" customWidth="1" width="8"/>
    <col min="8889" max="8889" customWidth="1" width="8"/>
    <col min="8890" max="8890" customWidth="1" width="8"/>
    <col min="8891" max="8891" customWidth="1" width="8"/>
    <col min="8892" max="8892" customWidth="1" width="8"/>
    <col min="8893" max="8893" customWidth="1" width="8"/>
    <col min="8894" max="8894" customWidth="1" width="8"/>
    <col min="8895" max="8895" customWidth="1" width="8"/>
    <col min="8896" max="8896" customWidth="1" width="8"/>
    <col min="8897" max="8897" customWidth="1" width="8"/>
    <col min="8898" max="8898" customWidth="1" width="8"/>
    <col min="8899" max="8899" customWidth="1" width="8"/>
    <col min="8900" max="8900" customWidth="1" width="8"/>
    <col min="8901" max="8901" customWidth="1" width="8"/>
    <col min="8902" max="8902" customWidth="1" width="8"/>
    <col min="8903" max="8903" customWidth="1" width="8"/>
    <col min="8904" max="8904" customWidth="1" width="8"/>
    <col min="8905" max="8905" customWidth="1" width="8"/>
    <col min="8906" max="8906" customWidth="1" width="8"/>
    <col min="8907" max="8907" customWidth="1" width="8"/>
    <col min="8908" max="8908" customWidth="1" width="8"/>
    <col min="8909" max="8909" customWidth="1" width="8"/>
    <col min="8910" max="8910" customWidth="1" width="8"/>
    <col min="8911" max="8911" customWidth="1" width="8"/>
    <col min="8912" max="8912" customWidth="1" width="8"/>
    <col min="8913" max="8913" customWidth="1" width="8"/>
    <col min="8914" max="8914" customWidth="1" width="8"/>
    <col min="8915" max="8915" customWidth="1" width="8"/>
    <col min="8916" max="8916" customWidth="1" width="8"/>
    <col min="8917" max="8917" customWidth="1" width="8"/>
    <col min="8918" max="8918" customWidth="1" width="8"/>
    <col min="8919" max="8919" customWidth="1" width="8"/>
    <col min="8920" max="8920" customWidth="1" width="8"/>
    <col min="8921" max="8921" customWidth="1" width="8"/>
    <col min="8922" max="8922" customWidth="1" width="8"/>
    <col min="8923" max="8923" customWidth="1" width="8"/>
    <col min="8924" max="8924" customWidth="1" width="8"/>
    <col min="8925" max="8925" customWidth="1" width="8"/>
    <col min="8926" max="8926" customWidth="1" width="8"/>
    <col min="8927" max="8927" customWidth="1" width="8"/>
    <col min="8928" max="8928" customWidth="1" width="8"/>
    <col min="8929" max="8929" customWidth="1" width="8"/>
    <col min="8930" max="8930" customWidth="1" width="8"/>
    <col min="8931" max="8931" customWidth="1" width="8"/>
    <col min="8932" max="8932" customWidth="1" width="8"/>
    <col min="8933" max="8933" customWidth="1" width="8"/>
    <col min="8934" max="8934" customWidth="1" width="8"/>
    <col min="8935" max="8935" customWidth="1" width="8"/>
    <col min="8936" max="8936" customWidth="1" width="8"/>
    <col min="8937" max="8937" customWidth="1" width="8"/>
    <col min="8938" max="8938" customWidth="1" width="8"/>
    <col min="8939" max="8939" customWidth="1" width="8"/>
    <col min="8940" max="8940" customWidth="1" width="8"/>
    <col min="8941" max="8941" customWidth="1" width="8"/>
    <col min="8942" max="8942" customWidth="1" width="8"/>
    <col min="8943" max="8943" customWidth="1" width="8"/>
    <col min="8944" max="8944" customWidth="1" width="8"/>
    <col min="8945" max="8945" customWidth="1" width="8"/>
    <col min="8946" max="8946" customWidth="1" width="8"/>
    <col min="8947" max="8947" customWidth="1" width="8"/>
    <col min="8948" max="8948" customWidth="1" width="8"/>
    <col min="8949" max="8949" customWidth="1" width="8"/>
    <col min="8950" max="8950" customWidth="1" width="8"/>
    <col min="8951" max="8951" customWidth="1" width="8"/>
    <col min="8952" max="8952" customWidth="1" width="8"/>
    <col min="8953" max="8953" customWidth="1" width="8"/>
    <col min="8954" max="8954" customWidth="1" width="8"/>
    <col min="8955" max="8955" customWidth="1" width="8"/>
    <col min="8956" max="8956" customWidth="1" width="8"/>
    <col min="8957" max="8957" customWidth="1" width="8"/>
    <col min="8958" max="8958" customWidth="1" width="8"/>
    <col min="8959" max="8959" customWidth="1" width="8"/>
    <col min="8960" max="8960" customWidth="1" width="8"/>
    <col min="8961" max="8961" customWidth="1" width="8"/>
    <col min="8962" max="8962" customWidth="1" width="8"/>
    <col min="8963" max="8963" customWidth="1" width="8"/>
    <col min="8964" max="8964" customWidth="1" width="8"/>
    <col min="8965" max="8965" customWidth="1" width="8"/>
    <col min="8966" max="8966" customWidth="1" width="8"/>
    <col min="8967" max="8967" customWidth="1" width="8"/>
    <col min="8968" max="8968" customWidth="1" width="8"/>
    <col min="8969" max="8969" customWidth="1" width="8"/>
    <col min="8970" max="8970" customWidth="1" width="8"/>
    <col min="8971" max="8971" customWidth="1" width="8"/>
    <col min="8972" max="8972" customWidth="1" width="8"/>
    <col min="8973" max="8973" customWidth="1" width="8"/>
    <col min="8974" max="8974" customWidth="1" width="8"/>
    <col min="8975" max="8975" customWidth="1" width="8"/>
    <col min="8976" max="8976" customWidth="1" width="8"/>
    <col min="8977" max="8977" customWidth="1" width="8"/>
    <col min="8978" max="8978" customWidth="1" width="8"/>
    <col min="8979" max="8979" customWidth="1" width="8"/>
    <col min="8980" max="8980" customWidth="1" width="8"/>
    <col min="8981" max="8981" customWidth="1" width="8"/>
    <col min="8982" max="8982" customWidth="1" width="8"/>
    <col min="8983" max="8983" customWidth="1" width="8"/>
    <col min="8984" max="8984" customWidth="1" width="8"/>
    <col min="8985" max="8985" customWidth="1" width="8"/>
    <col min="8986" max="8986" customWidth="1" width="8"/>
    <col min="8987" max="8987" customWidth="1" width="8"/>
    <col min="8988" max="8988" customWidth="1" width="8"/>
    <col min="8989" max="8989" customWidth="1" width="8"/>
    <col min="8990" max="8990" customWidth="1" width="8"/>
    <col min="8991" max="8991" customWidth="1" width="8"/>
    <col min="8992" max="8992" customWidth="1" width="8"/>
    <col min="8993" max="8993" customWidth="1" width="8"/>
    <col min="8994" max="8994" customWidth="1" width="8"/>
    <col min="8995" max="8995" customWidth="1" width="8"/>
    <col min="8996" max="8996" customWidth="1" width="8"/>
    <col min="8997" max="8997" customWidth="1" width="8"/>
    <col min="8998" max="8998" customWidth="1" width="8"/>
    <col min="8999" max="8999" customWidth="1" width="8"/>
    <col min="9000" max="9000" customWidth="1" width="8"/>
    <col min="9001" max="9001" customWidth="1" width="8"/>
    <col min="9002" max="9002" customWidth="1" width="8"/>
    <col min="9003" max="9003" customWidth="1" width="8"/>
    <col min="9004" max="9004" customWidth="1" width="8"/>
    <col min="9005" max="9005" customWidth="1" width="8"/>
    <col min="9006" max="9006" customWidth="1" width="8"/>
    <col min="9007" max="9007" customWidth="1" width="8"/>
    <col min="9008" max="9008" customWidth="1" width="8"/>
    <col min="9009" max="9009" customWidth="1" width="8"/>
    <col min="9010" max="9010" customWidth="1" width="8"/>
    <col min="9011" max="9011" customWidth="1" width="8"/>
    <col min="9012" max="9012" customWidth="1" width="8"/>
    <col min="9013" max="9013" customWidth="1" width="8"/>
    <col min="9014" max="9014" customWidth="1" width="8"/>
    <col min="9015" max="9015" customWidth="1" width="8"/>
    <col min="9016" max="9016" customWidth="1" width="8"/>
    <col min="9017" max="9017" customWidth="1" width="8"/>
    <col min="9018" max="9018" customWidth="1" width="8"/>
    <col min="9019" max="9019" customWidth="1" width="8"/>
    <col min="9020" max="9020" customWidth="1" width="8"/>
    <col min="9021" max="9021" customWidth="1" width="8"/>
    <col min="9022" max="9022" customWidth="1" width="8"/>
    <col min="9023" max="9023" customWidth="1" width="8"/>
    <col min="9024" max="9024" customWidth="1" width="8"/>
    <col min="9025" max="9025" customWidth="1" width="8"/>
    <col min="9026" max="9026" customWidth="1" width="8"/>
    <col min="9027" max="9027" customWidth="1" width="8"/>
    <col min="9028" max="9028" customWidth="1" width="8"/>
    <col min="9029" max="9029" customWidth="1" width="8"/>
    <col min="9030" max="9030" customWidth="1" width="8"/>
    <col min="9031" max="9031" customWidth="1" width="8"/>
    <col min="9032" max="9032" customWidth="1" width="8"/>
    <col min="9033" max="9033" customWidth="1" width="8"/>
    <col min="9034" max="9034" customWidth="1" width="8"/>
    <col min="9035" max="9035" customWidth="1" width="8"/>
    <col min="9036" max="9036" customWidth="1" width="8"/>
    <col min="9037" max="9037" customWidth="1" width="8"/>
    <col min="9038" max="9038" customWidth="1" width="8"/>
    <col min="9039" max="9039" customWidth="1" width="8"/>
    <col min="9040" max="9040" customWidth="1" width="8"/>
    <col min="9041" max="9041" customWidth="1" width="8"/>
    <col min="9042" max="9042" customWidth="1" width="8"/>
    <col min="9043" max="9043" customWidth="1" width="8"/>
    <col min="9044" max="9044" customWidth="1" width="8"/>
    <col min="9045" max="9045" customWidth="1" width="8"/>
    <col min="9046" max="9046" customWidth="1" width="8"/>
    <col min="9047" max="9047" customWidth="1" width="8"/>
    <col min="9048" max="9048" customWidth="1" width="8"/>
    <col min="9049" max="9049" customWidth="1" width="8"/>
    <col min="9050" max="9050" customWidth="1" width="8"/>
    <col min="9051" max="9051" customWidth="1" width="8"/>
    <col min="9052" max="9052" customWidth="1" width="8"/>
    <col min="9053" max="9053" customWidth="1" width="8"/>
    <col min="9054" max="9054" customWidth="1" width="8"/>
    <col min="9055" max="9055" customWidth="1" width="8"/>
    <col min="9056" max="9056" customWidth="1" width="8"/>
    <col min="9057" max="9057" customWidth="1" width="8"/>
    <col min="9058" max="9058" customWidth="1" width="8"/>
    <col min="9059" max="9059" customWidth="1" width="8"/>
    <col min="9060" max="9060" customWidth="1" width="8"/>
    <col min="9061" max="9061" customWidth="1" width="8"/>
    <col min="9062" max="9062" customWidth="1" width="8"/>
    <col min="9063" max="9063" customWidth="1" width="8"/>
    <col min="9064" max="9064" customWidth="1" width="8"/>
    <col min="9065" max="9065" customWidth="1" width="8"/>
    <col min="9066" max="9066" customWidth="1" width="8"/>
    <col min="9067" max="9067" customWidth="1" width="8"/>
    <col min="9068" max="9068" customWidth="1" width="8"/>
    <col min="9069" max="9069" customWidth="1" width="8"/>
    <col min="9070" max="9070" customWidth="1" width="8"/>
    <col min="9071" max="9071" customWidth="1" width="8"/>
    <col min="9072" max="9072" customWidth="1" width="8"/>
    <col min="9073" max="9073" customWidth="1" width="8"/>
    <col min="9074" max="9074" customWidth="1" width="8"/>
    <col min="9075" max="9075" customWidth="1" width="8"/>
    <col min="9076" max="9076" customWidth="1" width="8"/>
    <col min="9077" max="9077" customWidth="1" width="8"/>
    <col min="9078" max="9078" customWidth="1" width="8"/>
    <col min="9079" max="9079" customWidth="1" width="8"/>
    <col min="9080" max="9080" customWidth="1" width="8"/>
    <col min="9081" max="9081" customWidth="1" width="8"/>
    <col min="9082" max="9082" customWidth="1" width="8"/>
    <col min="9083" max="9083" customWidth="1" width="8"/>
    <col min="9084" max="9084" customWidth="1" width="8"/>
    <col min="9085" max="9085" customWidth="1" width="8"/>
    <col min="9086" max="9086" customWidth="1" width="8"/>
    <col min="9087" max="9087" customWidth="1" width="8"/>
    <col min="9088" max="9088" customWidth="1" width="8"/>
    <col min="9089" max="9089" customWidth="1" width="8"/>
    <col min="9090" max="9090" customWidth="1" width="8"/>
    <col min="9091" max="9091" customWidth="1" width="8"/>
    <col min="9092" max="9092" customWidth="1" width="8"/>
    <col min="9093" max="9093" customWidth="1" width="8"/>
    <col min="9094" max="9094" customWidth="1" width="8"/>
    <col min="9095" max="9095" customWidth="1" width="8"/>
    <col min="9096" max="9096" customWidth="1" width="8"/>
    <col min="9097" max="9097" customWidth="1" width="8"/>
    <col min="9098" max="9098" customWidth="1" width="8"/>
    <col min="9099" max="9099" customWidth="1" width="8"/>
    <col min="9100" max="9100" customWidth="1" width="8"/>
    <col min="9101" max="9101" customWidth="1" width="8"/>
    <col min="9102" max="9102" customWidth="1" width="8"/>
    <col min="9103" max="9103" customWidth="1" width="8"/>
    <col min="9104" max="9104" customWidth="1" width="8"/>
    <col min="9105" max="9105" customWidth="1" width="8"/>
    <col min="9106" max="9106" customWidth="1" width="8"/>
    <col min="9107" max="9107" customWidth="1" width="8"/>
    <col min="9108" max="9108" customWidth="1" width="8"/>
    <col min="9109" max="9109" customWidth="1" width="8"/>
    <col min="9110" max="9110" customWidth="1" width="8"/>
    <col min="9111" max="9111" customWidth="1" width="8"/>
    <col min="9112" max="9112" customWidth="1" width="8"/>
    <col min="9113" max="9113" customWidth="1" width="8"/>
    <col min="9114" max="9114" customWidth="1" width="8"/>
    <col min="9115" max="9115" customWidth="1" width="8"/>
    <col min="9116" max="9116" customWidth="1" width="8"/>
    <col min="9117" max="9117" customWidth="1" width="8"/>
    <col min="9118" max="9118" customWidth="1" width="8"/>
    <col min="9119" max="9119" customWidth="1" width="8"/>
    <col min="9120" max="9120" customWidth="1" width="8"/>
    <col min="9121" max="9121" customWidth="1" width="8"/>
    <col min="9122" max="9122" customWidth="1" width="8"/>
    <col min="9123" max="9123" customWidth="1" width="8"/>
    <col min="9124" max="9124" customWidth="1" width="8"/>
    <col min="9125" max="9125" customWidth="1" width="8"/>
    <col min="9126" max="9126" customWidth="1" width="8"/>
    <col min="9127" max="9127" customWidth="1" width="8"/>
    <col min="9128" max="9128" customWidth="1" width="8"/>
    <col min="9129" max="9129" customWidth="1" width="8"/>
    <col min="9130" max="9130" customWidth="1" width="8"/>
    <col min="9131" max="9131" customWidth="1" width="8"/>
    <col min="9132" max="9132" customWidth="1" width="8"/>
    <col min="9133" max="9133" customWidth="1" width="8"/>
    <col min="9134" max="9134" customWidth="1" width="8"/>
    <col min="9135" max="9135" customWidth="1" width="8"/>
    <col min="9136" max="9136" customWidth="1" width="8"/>
    <col min="9137" max="9137" customWidth="1" width="8"/>
    <col min="9138" max="9138" customWidth="1" width="8"/>
    <col min="9139" max="9139" customWidth="1" width="8"/>
    <col min="9140" max="9140" customWidth="1" width="8"/>
    <col min="9141" max="9141" customWidth="1" width="8"/>
    <col min="9142" max="9142" customWidth="1" width="8"/>
    <col min="9143" max="9143" customWidth="1" width="8"/>
    <col min="9144" max="9144" customWidth="1" width="8"/>
    <col min="9145" max="9145" customWidth="1" width="8"/>
    <col min="9146" max="9146" customWidth="1" width="8"/>
    <col min="9147" max="9147" customWidth="1" width="8"/>
    <col min="9148" max="9148" customWidth="1" width="8"/>
    <col min="9149" max="9149" customWidth="1" width="8"/>
    <col min="9150" max="9150" customWidth="1" width="8"/>
    <col min="9151" max="9151" customWidth="1" width="8"/>
    <col min="9152" max="9152" customWidth="1" width="8"/>
    <col min="9153" max="9153" customWidth="1" width="8"/>
    <col min="9154" max="9154" customWidth="1" width="8"/>
    <col min="9155" max="9155" customWidth="1" width="8"/>
    <col min="9156" max="9156" customWidth="1" width="8"/>
    <col min="9157" max="9157" customWidth="1" width="8"/>
    <col min="9158" max="9158" customWidth="1" width="8"/>
    <col min="9159" max="9159" customWidth="1" width="8"/>
    <col min="9160" max="9160" customWidth="1" width="8"/>
    <col min="9161" max="9161" customWidth="1" width="8"/>
    <col min="9162" max="9162" customWidth="1" width="8"/>
    <col min="9163" max="9163" customWidth="1" width="8"/>
    <col min="9164" max="9164" customWidth="1" width="8"/>
    <col min="9165" max="9165" customWidth="1" width="8"/>
    <col min="9166" max="9166" customWidth="1" width="8"/>
    <col min="9167" max="9167" customWidth="1" width="8"/>
    <col min="9168" max="9168" customWidth="1" width="8"/>
    <col min="9169" max="9169" customWidth="1" width="8"/>
    <col min="9170" max="9170" customWidth="1" width="8"/>
    <col min="9171" max="9171" customWidth="1" width="8"/>
    <col min="9172" max="9172" customWidth="1" width="8"/>
    <col min="9173" max="9173" customWidth="1" width="8"/>
    <col min="9174" max="9174" customWidth="1" width="8"/>
    <col min="9175" max="9175" customWidth="1" width="8"/>
    <col min="9176" max="9176" customWidth="1" width="8"/>
    <col min="9177" max="9177" customWidth="1" width="8"/>
    <col min="9178" max="9178" customWidth="1" width="8"/>
    <col min="9179" max="9179" customWidth="1" width="8"/>
    <col min="9180" max="9180" customWidth="1" width="8"/>
    <col min="9181" max="9181" customWidth="1" width="8"/>
    <col min="9182" max="9182" customWidth="1" width="8"/>
    <col min="9183" max="9183" customWidth="1" width="8"/>
    <col min="9184" max="9184" customWidth="1" width="8"/>
    <col min="9185" max="9185" customWidth="1" width="8"/>
    <col min="9186" max="9186" customWidth="1" width="8"/>
    <col min="9187" max="9187" customWidth="1" width="8"/>
    <col min="9188" max="9188" customWidth="1" width="8"/>
    <col min="9189" max="9189" customWidth="1" width="8"/>
    <col min="9190" max="9190" customWidth="1" width="8"/>
    <col min="9191" max="9191" customWidth="1" width="8"/>
    <col min="9192" max="9192" customWidth="1" width="8"/>
    <col min="9193" max="9193" customWidth="1" width="8"/>
    <col min="9194" max="9194" customWidth="1" width="8"/>
    <col min="9195" max="9195" customWidth="1" width="8"/>
    <col min="9196" max="9196" customWidth="1" width="8"/>
    <col min="9197" max="9197" customWidth="1" width="8"/>
    <col min="9198" max="9198" customWidth="1" width="8"/>
    <col min="9199" max="9199" customWidth="1" width="8"/>
    <col min="9200" max="9200" customWidth="1" width="8"/>
    <col min="9201" max="9201" customWidth="1" width="8"/>
    <col min="9202" max="9202" customWidth="1" width="8"/>
    <col min="9203" max="9203" customWidth="1" width="8"/>
    <col min="9204" max="9204" customWidth="1" width="8"/>
    <col min="9205" max="9205" customWidth="1" width="8"/>
    <col min="9206" max="9206" customWidth="1" width="8"/>
    <col min="9207" max="9207" customWidth="1" width="8"/>
    <col min="9208" max="9208" customWidth="1" width="8"/>
    <col min="9209" max="9209" customWidth="1" width="8"/>
    <col min="9210" max="9210" customWidth="1" width="8"/>
    <col min="9211" max="9211" customWidth="1" width="8"/>
    <col min="9212" max="9212" customWidth="1" width="8"/>
    <col min="9213" max="9213" customWidth="1" width="8"/>
    <col min="9214" max="9214" customWidth="1" width="8"/>
    <col min="9215" max="9215" customWidth="1" width="8"/>
    <col min="9216" max="9216" customWidth="1" width="8"/>
    <col min="9217" max="9217" customWidth="1" width="8"/>
    <col min="9218" max="9218" customWidth="1" width="8"/>
    <col min="9219" max="9219" customWidth="1" width="8"/>
    <col min="9220" max="9220" customWidth="1" width="8"/>
    <col min="9221" max="9221" customWidth="1" width="8"/>
    <col min="9222" max="9222" customWidth="1" width="8"/>
    <col min="9223" max="9223" customWidth="1" width="8"/>
    <col min="9224" max="9224" customWidth="1" width="8"/>
    <col min="9225" max="9225" customWidth="1" width="8"/>
    <col min="9226" max="9226" customWidth="1" width="8"/>
    <col min="9227" max="9227" customWidth="1" width="8"/>
    <col min="9228" max="9228" customWidth="1" width="8"/>
    <col min="9229" max="9229" customWidth="1" width="8"/>
    <col min="9230" max="9230" customWidth="1" width="8"/>
    <col min="9231" max="9231" customWidth="1" width="8"/>
    <col min="9232" max="9232" customWidth="1" width="8"/>
    <col min="9233" max="9233" customWidth="1" width="8"/>
    <col min="9234" max="9234" customWidth="1" width="8"/>
    <col min="9235" max="9235" customWidth="1" width="8"/>
    <col min="9236" max="9236" customWidth="1" width="8"/>
    <col min="9237" max="9237" customWidth="1" width="8"/>
    <col min="9238" max="9238" customWidth="1" width="8"/>
    <col min="9239" max="9239" customWidth="1" width="8"/>
    <col min="9240" max="9240" customWidth="1" width="8"/>
    <col min="9241" max="9241" customWidth="1" width="8"/>
    <col min="9242" max="9242" customWidth="1" width="8"/>
    <col min="9243" max="9243" customWidth="1" width="8"/>
    <col min="9244" max="9244" customWidth="1" width="8"/>
    <col min="9245" max="9245" customWidth="1" width="8"/>
    <col min="9246" max="9246" customWidth="1" width="8"/>
    <col min="9247" max="9247" customWidth="1" width="8"/>
    <col min="9248" max="9248" customWidth="1" width="8"/>
    <col min="9249" max="9249" customWidth="1" width="8"/>
    <col min="9250" max="9250" customWidth="1" width="8"/>
    <col min="9251" max="9251" customWidth="1" width="8"/>
    <col min="9252" max="9252" customWidth="1" width="8"/>
    <col min="9253" max="9253" customWidth="1" width="8"/>
    <col min="9254" max="9254" customWidth="1" width="8"/>
    <col min="9255" max="9255" customWidth="1" width="8"/>
    <col min="9256" max="9256" customWidth="1" width="8"/>
    <col min="9257" max="9257" customWidth="1" width="8"/>
    <col min="9258" max="9258" customWidth="1" width="8"/>
    <col min="9259" max="9259" customWidth="1" width="8"/>
    <col min="9260" max="9260" customWidth="1" width="8"/>
    <col min="9261" max="9261" customWidth="1" width="8"/>
    <col min="9262" max="9262" customWidth="1" width="8"/>
    <col min="9263" max="9263" customWidth="1" width="8"/>
    <col min="9264" max="9264" customWidth="1" width="8"/>
    <col min="9265" max="9265" customWidth="1" width="8"/>
    <col min="9266" max="9266" customWidth="1" width="8"/>
    <col min="9267" max="9267" customWidth="1" width="8"/>
    <col min="9268" max="9268" customWidth="1" width="8"/>
    <col min="9269" max="9269" customWidth="1" width="8"/>
    <col min="9270" max="9270" customWidth="1" width="8"/>
    <col min="9271" max="9271" customWidth="1" width="8"/>
    <col min="9272" max="9272" customWidth="1" width="8"/>
    <col min="9273" max="9273" customWidth="1" width="8"/>
    <col min="9274" max="9274" customWidth="1" width="8"/>
    <col min="9275" max="9275" customWidth="1" width="8"/>
    <col min="9276" max="9276" customWidth="1" width="8"/>
    <col min="9277" max="9277" customWidth="1" width="8"/>
    <col min="9278" max="9278" customWidth="1" width="8"/>
    <col min="9279" max="9279" customWidth="1" width="8"/>
    <col min="9280" max="9280" customWidth="1" width="8"/>
    <col min="9281" max="9281" customWidth="1" width="8"/>
    <col min="9282" max="9282" customWidth="1" width="8"/>
    <col min="9283" max="9283" customWidth="1" width="8"/>
    <col min="9284" max="9284" customWidth="1" width="8"/>
    <col min="9285" max="9285" customWidth="1" width="8"/>
    <col min="9286" max="9286" customWidth="1" width="8"/>
    <col min="9287" max="9287" customWidth="1" width="8"/>
    <col min="9288" max="9288" customWidth="1" width="8"/>
    <col min="9289" max="9289" customWidth="1" width="8"/>
    <col min="9290" max="9290" customWidth="1" width="8"/>
    <col min="9291" max="9291" customWidth="1" width="8"/>
    <col min="9292" max="9292" customWidth="1" width="8"/>
    <col min="9293" max="9293" customWidth="1" width="8"/>
    <col min="9294" max="9294" customWidth="1" width="8"/>
    <col min="9295" max="9295" customWidth="1" width="8"/>
    <col min="9296" max="9296" customWidth="1" width="8"/>
    <col min="9297" max="9297" customWidth="1" width="8"/>
    <col min="9298" max="9298" customWidth="1" width="8"/>
    <col min="9299" max="9299" customWidth="1" width="8"/>
    <col min="9300" max="9300" customWidth="1" width="8"/>
    <col min="9301" max="9301" customWidth="1" width="8"/>
    <col min="9302" max="9302" customWidth="1" width="8"/>
    <col min="9303" max="9303" customWidth="1" width="8"/>
    <col min="9304" max="9304" customWidth="1" width="8"/>
    <col min="9305" max="9305" customWidth="1" width="8"/>
    <col min="9306" max="9306" customWidth="1" width="8"/>
    <col min="9307" max="9307" customWidth="1" width="8"/>
    <col min="9308" max="9308" customWidth="1" width="8"/>
    <col min="9309" max="9309" customWidth="1" width="8"/>
    <col min="9310" max="9310" customWidth="1" width="8"/>
    <col min="9311" max="9311" customWidth="1" width="8"/>
    <col min="9312" max="9312" customWidth="1" width="8"/>
    <col min="9313" max="9313" customWidth="1" width="8"/>
    <col min="9314" max="9314" customWidth="1" width="8"/>
    <col min="9315" max="9315" customWidth="1" width="8"/>
    <col min="9316" max="9316" customWidth="1" width="8"/>
    <col min="9317" max="9317" customWidth="1" width="8"/>
    <col min="9318" max="9318" customWidth="1" width="8"/>
    <col min="9319" max="9319" customWidth="1" width="8"/>
    <col min="9320" max="9320" customWidth="1" width="8"/>
    <col min="9321" max="9321" customWidth="1" width="8"/>
    <col min="9322" max="9322" customWidth="1" width="8"/>
    <col min="9323" max="9323" customWidth="1" width="8"/>
    <col min="9324" max="9324" customWidth="1" width="8"/>
    <col min="9325" max="9325" customWidth="1" width="8"/>
    <col min="9326" max="9326" customWidth="1" width="8"/>
    <col min="9327" max="9327" customWidth="1" width="8"/>
    <col min="9328" max="9328" customWidth="1" width="8"/>
    <col min="9329" max="9329" customWidth="1" width="8"/>
    <col min="9330" max="9330" customWidth="1" width="8"/>
    <col min="9331" max="9331" customWidth="1" width="8"/>
    <col min="9332" max="9332" customWidth="1" width="8"/>
    <col min="9333" max="9333" customWidth="1" width="8"/>
    <col min="9334" max="9334" customWidth="1" width="8"/>
    <col min="9335" max="9335" customWidth="1" width="8"/>
    <col min="9336" max="9336" customWidth="1" width="8"/>
    <col min="9337" max="9337" customWidth="1" width="8"/>
    <col min="9338" max="9338" customWidth="1" width="8"/>
    <col min="9339" max="9339" customWidth="1" width="8"/>
    <col min="9340" max="9340" customWidth="1" width="8"/>
    <col min="9341" max="9341" customWidth="1" width="8"/>
    <col min="9342" max="9342" customWidth="1" width="8"/>
    <col min="9343" max="9343" customWidth="1" width="8"/>
    <col min="9344" max="9344" customWidth="1" width="8"/>
    <col min="9345" max="9345" customWidth="1" width="8"/>
    <col min="9346" max="9346" customWidth="1" width="8"/>
    <col min="9347" max="9347" customWidth="1" width="8"/>
    <col min="9348" max="9348" customWidth="1" width="8"/>
    <col min="9349" max="9349" customWidth="1" width="8"/>
    <col min="9350" max="9350" customWidth="1" width="8"/>
    <col min="9351" max="9351" customWidth="1" width="8"/>
    <col min="9352" max="9352" customWidth="1" width="8"/>
    <col min="9353" max="9353" customWidth="1" width="8"/>
    <col min="9354" max="9354" customWidth="1" width="8"/>
    <col min="9355" max="9355" customWidth="1" width="8"/>
    <col min="9356" max="9356" customWidth="1" width="8"/>
    <col min="9357" max="9357" customWidth="1" width="8"/>
    <col min="9358" max="9358" customWidth="1" width="8"/>
    <col min="9359" max="9359" customWidth="1" width="8"/>
    <col min="9360" max="9360" customWidth="1" width="8"/>
    <col min="9361" max="9361" customWidth="1" width="8"/>
    <col min="9362" max="9362" customWidth="1" width="8"/>
    <col min="9363" max="9363" customWidth="1" width="8"/>
    <col min="9364" max="9364" customWidth="1" width="8"/>
    <col min="9365" max="9365" customWidth="1" width="8"/>
    <col min="9366" max="9366" customWidth="1" width="8"/>
    <col min="9367" max="9367" customWidth="1" width="8"/>
    <col min="9368" max="9368" customWidth="1" width="8"/>
    <col min="9369" max="9369" customWidth="1" width="8"/>
    <col min="9370" max="9370" customWidth="1" width="8"/>
    <col min="9371" max="9371" customWidth="1" width="8"/>
    <col min="9372" max="9372" customWidth="1" width="8"/>
    <col min="9373" max="9373" customWidth="1" width="8"/>
    <col min="9374" max="9374" customWidth="1" width="8"/>
    <col min="9375" max="9375" customWidth="1" width="8"/>
    <col min="9376" max="9376" customWidth="1" width="8"/>
    <col min="9377" max="9377" customWidth="1" width="8"/>
    <col min="9378" max="9378" customWidth="1" width="8"/>
    <col min="9379" max="9379" customWidth="1" width="8"/>
    <col min="9380" max="9380" customWidth="1" width="8"/>
    <col min="9381" max="9381" customWidth="1" width="8"/>
    <col min="9382" max="9382" customWidth="1" width="8"/>
    <col min="9383" max="9383" customWidth="1" width="8"/>
    <col min="9384" max="9384" customWidth="1" width="8"/>
    <col min="9385" max="9385" customWidth="1" width="8"/>
    <col min="9386" max="9386" customWidth="1" width="8"/>
    <col min="9387" max="9387" customWidth="1" width="8"/>
    <col min="9388" max="9388" customWidth="1" width="8"/>
    <col min="9389" max="9389" customWidth="1" width="8"/>
    <col min="9390" max="9390" customWidth="1" width="8"/>
    <col min="9391" max="9391" customWidth="1" width="8"/>
    <col min="9392" max="9392" customWidth="1" width="8"/>
    <col min="9393" max="9393" customWidth="1" width="8"/>
    <col min="9394" max="9394" customWidth="1" width="8"/>
    <col min="9395" max="9395" customWidth="1" width="8"/>
    <col min="9396" max="9396" customWidth="1" width="8"/>
    <col min="9397" max="9397" customWidth="1" width="8"/>
    <col min="9398" max="9398" customWidth="1" width="8"/>
    <col min="9399" max="9399" customWidth="1" width="8"/>
    <col min="9400" max="9400" customWidth="1" width="8"/>
    <col min="9401" max="9401" customWidth="1" width="8"/>
    <col min="9402" max="9402" customWidth="1" width="8"/>
    <col min="9403" max="9403" customWidth="1" width="8"/>
    <col min="9404" max="9404" customWidth="1" width="8"/>
    <col min="9405" max="9405" customWidth="1" width="8"/>
    <col min="9406" max="9406" customWidth="1" width="8"/>
    <col min="9407" max="9407" customWidth="1" width="8"/>
    <col min="9408" max="9408" customWidth="1" width="8"/>
    <col min="9409" max="9409" customWidth="1" width="8"/>
    <col min="9410" max="9410" customWidth="1" width="8"/>
    <col min="9411" max="9411" customWidth="1" width="8"/>
    <col min="9412" max="9412" customWidth="1" width="8"/>
    <col min="9413" max="9413" customWidth="1" width="8"/>
    <col min="9414" max="9414" customWidth="1" width="8"/>
    <col min="9415" max="9415" customWidth="1" width="8"/>
    <col min="9416" max="9416" customWidth="1" width="8"/>
    <col min="9417" max="9417" customWidth="1" width="8"/>
    <col min="9418" max="9418" customWidth="1" width="8"/>
    <col min="9419" max="9419" customWidth="1" width="8"/>
    <col min="9420" max="9420" customWidth="1" width="8"/>
    <col min="9421" max="9421" customWidth="1" width="8"/>
    <col min="9422" max="9422" customWidth="1" width="8"/>
    <col min="9423" max="9423" customWidth="1" width="8"/>
    <col min="9424" max="9424" customWidth="1" width="8"/>
    <col min="9425" max="9425" customWidth="1" width="8"/>
    <col min="9426" max="9426" customWidth="1" width="8"/>
    <col min="9427" max="9427" customWidth="1" width="8"/>
    <col min="9428" max="9428" customWidth="1" width="8"/>
    <col min="9429" max="9429" customWidth="1" width="8"/>
    <col min="9430" max="9430" customWidth="1" width="8"/>
    <col min="9431" max="9431" customWidth="1" width="8"/>
    <col min="9432" max="9432" customWidth="1" width="8"/>
    <col min="9433" max="9433" customWidth="1" width="8"/>
    <col min="9434" max="9434" customWidth="1" width="8"/>
    <col min="9435" max="9435" customWidth="1" width="8"/>
    <col min="9436" max="9436" customWidth="1" width="8"/>
    <col min="9437" max="9437" customWidth="1" width="8"/>
    <col min="9438" max="9438" customWidth="1" width="8"/>
    <col min="9439" max="9439" customWidth="1" width="8"/>
    <col min="9440" max="9440" customWidth="1" width="8"/>
    <col min="9441" max="9441" customWidth="1" width="8"/>
    <col min="9442" max="9442" customWidth="1" width="8"/>
    <col min="9443" max="9443" customWidth="1" width="8"/>
    <col min="9444" max="9444" customWidth="1" width="8"/>
    <col min="9445" max="9445" customWidth="1" width="8"/>
    <col min="9446" max="9446" customWidth="1" width="8"/>
    <col min="9447" max="9447" customWidth="1" width="8"/>
    <col min="9448" max="9448" customWidth="1" width="8"/>
    <col min="9449" max="9449" customWidth="1" width="8"/>
    <col min="9450" max="9450" customWidth="1" width="8"/>
    <col min="9451" max="9451" customWidth="1" width="8"/>
    <col min="9452" max="9452" customWidth="1" width="8"/>
    <col min="9453" max="9453" customWidth="1" width="8"/>
    <col min="9454" max="9454" customWidth="1" width="8"/>
    <col min="9455" max="9455" customWidth="1" width="8"/>
    <col min="9456" max="9456" customWidth="1" width="8"/>
    <col min="9457" max="9457" customWidth="1" width="8"/>
    <col min="9458" max="9458" customWidth="1" width="8"/>
    <col min="9459" max="9459" customWidth="1" width="8"/>
    <col min="9460" max="9460" customWidth="1" width="8"/>
    <col min="9461" max="9461" customWidth="1" width="8"/>
    <col min="9462" max="9462" customWidth="1" width="8"/>
    <col min="9463" max="9463" customWidth="1" width="8"/>
    <col min="9464" max="9464" customWidth="1" width="8"/>
    <col min="9465" max="9465" customWidth="1" width="8"/>
    <col min="9466" max="9466" customWidth="1" width="8"/>
    <col min="9467" max="9467" customWidth="1" width="8"/>
    <col min="9468" max="9468" customWidth="1" width="8"/>
    <col min="9469" max="9469" customWidth="1" width="8"/>
    <col min="9470" max="9470" customWidth="1" width="8"/>
    <col min="9471" max="9471" customWidth="1" width="8"/>
    <col min="9472" max="9472" customWidth="1" width="8"/>
    <col min="9473" max="9473" customWidth="1" width="8"/>
    <col min="9474" max="9474" customWidth="1" width="8"/>
    <col min="9475" max="9475" customWidth="1" width="8"/>
    <col min="9476" max="9476" customWidth="1" width="8"/>
    <col min="9477" max="9477" customWidth="1" width="8"/>
    <col min="9478" max="9478" customWidth="1" width="8"/>
    <col min="9479" max="9479" customWidth="1" width="8"/>
    <col min="9480" max="9480" customWidth="1" width="8"/>
    <col min="9481" max="9481" customWidth="1" width="8"/>
    <col min="9482" max="9482" customWidth="1" width="8"/>
    <col min="9483" max="9483" customWidth="1" width="8"/>
    <col min="9484" max="9484" customWidth="1" width="8"/>
    <col min="9485" max="9485" customWidth="1" width="8"/>
    <col min="9486" max="9486" customWidth="1" width="8"/>
    <col min="9487" max="9487" customWidth="1" width="8"/>
    <col min="9488" max="9488" customWidth="1" width="8"/>
    <col min="9489" max="9489" customWidth="1" width="8"/>
    <col min="9490" max="9490" customWidth="1" width="8"/>
    <col min="9491" max="9491" customWidth="1" width="8"/>
    <col min="9492" max="9492" customWidth="1" width="8"/>
    <col min="9493" max="9493" customWidth="1" width="8"/>
    <col min="9494" max="9494" customWidth="1" width="8"/>
    <col min="9495" max="9495" customWidth="1" width="8"/>
    <col min="9496" max="9496" customWidth="1" width="8"/>
    <col min="9497" max="9497" customWidth="1" width="8"/>
    <col min="9498" max="9498" customWidth="1" width="8"/>
    <col min="9499" max="9499" customWidth="1" width="8"/>
    <col min="9500" max="9500" customWidth="1" width="8"/>
    <col min="9501" max="9501" customWidth="1" width="8"/>
    <col min="9502" max="9502" customWidth="1" width="8"/>
    <col min="9503" max="9503" customWidth="1" width="8"/>
    <col min="9504" max="9504" customWidth="1" width="8"/>
    <col min="9505" max="9505" customWidth="1" width="8"/>
    <col min="9506" max="9506" customWidth="1" width="8"/>
    <col min="9507" max="9507" customWidth="1" width="8"/>
    <col min="9508" max="9508" customWidth="1" width="8"/>
    <col min="9509" max="9509" customWidth="1" width="8"/>
    <col min="9510" max="9510" customWidth="1" width="8"/>
    <col min="9511" max="9511" customWidth="1" width="8"/>
    <col min="9512" max="9512" customWidth="1" width="8"/>
    <col min="9513" max="9513" customWidth="1" width="8"/>
    <col min="9514" max="9514" customWidth="1" width="8"/>
    <col min="9515" max="9515" customWidth="1" width="8"/>
    <col min="9516" max="9516" customWidth="1" width="8"/>
    <col min="9517" max="9517" customWidth="1" width="8"/>
    <col min="9518" max="9518" customWidth="1" width="8"/>
    <col min="9519" max="9519" customWidth="1" width="8"/>
    <col min="9520" max="9520" customWidth="1" width="8"/>
    <col min="9521" max="9521" customWidth="1" width="8"/>
    <col min="9522" max="9522" customWidth="1" width="8"/>
    <col min="9523" max="9523" customWidth="1" width="8"/>
    <col min="9524" max="9524" customWidth="1" width="8"/>
    <col min="9525" max="9525" customWidth="1" width="8"/>
    <col min="9526" max="9526" customWidth="1" width="8"/>
    <col min="9527" max="9527" customWidth="1" width="8"/>
    <col min="9528" max="9528" customWidth="1" width="8"/>
    <col min="9529" max="9529" customWidth="1" width="8"/>
    <col min="9530" max="9530" customWidth="1" width="8"/>
    <col min="9531" max="9531" customWidth="1" width="8"/>
    <col min="9532" max="9532" customWidth="1" width="8"/>
    <col min="9533" max="9533" customWidth="1" width="8"/>
    <col min="9534" max="9534" customWidth="1" width="8"/>
    <col min="9535" max="9535" customWidth="1" width="8"/>
    <col min="9536" max="9536" customWidth="1" width="8"/>
    <col min="9537" max="9537" customWidth="1" width="8"/>
    <col min="9538" max="9538" customWidth="1" width="8"/>
    <col min="9539" max="9539" customWidth="1" width="8"/>
    <col min="9540" max="9540" customWidth="1" width="8"/>
    <col min="9541" max="9541" customWidth="1" width="8"/>
    <col min="9542" max="9542" customWidth="1" width="8"/>
    <col min="9543" max="9543" customWidth="1" width="8"/>
    <col min="9544" max="9544" customWidth="1" width="8"/>
    <col min="9545" max="9545" customWidth="1" width="8"/>
    <col min="9546" max="9546" customWidth="1" width="8"/>
    <col min="9547" max="9547" customWidth="1" width="8"/>
    <col min="9548" max="9548" customWidth="1" width="8"/>
    <col min="9549" max="9549" customWidth="1" width="8"/>
    <col min="9550" max="9550" customWidth="1" width="8"/>
    <col min="9551" max="9551" customWidth="1" width="8"/>
    <col min="9552" max="9552" customWidth="1" width="8"/>
    <col min="9553" max="9553" customWidth="1" width="8"/>
    <col min="9554" max="9554" customWidth="1" width="8"/>
    <col min="9555" max="9555" customWidth="1" width="8"/>
    <col min="9556" max="9556" customWidth="1" width="8"/>
    <col min="9557" max="9557" customWidth="1" width="8"/>
    <col min="9558" max="9558" customWidth="1" width="8"/>
    <col min="9559" max="9559" customWidth="1" width="8"/>
    <col min="9560" max="9560" customWidth="1" width="8"/>
    <col min="9561" max="9561" customWidth="1" width="8"/>
    <col min="9562" max="9562" customWidth="1" width="8"/>
    <col min="9563" max="9563" customWidth="1" width="8"/>
    <col min="9564" max="9564" customWidth="1" width="8"/>
    <col min="9565" max="9565" customWidth="1" width="8"/>
    <col min="9566" max="9566" customWidth="1" width="8"/>
    <col min="9567" max="9567" customWidth="1" width="8"/>
    <col min="9568" max="9568" customWidth="1" width="8"/>
    <col min="9569" max="9569" customWidth="1" width="8"/>
    <col min="9570" max="9570" customWidth="1" width="8"/>
    <col min="9571" max="9571" customWidth="1" width="8"/>
    <col min="9572" max="9572" customWidth="1" width="8"/>
    <col min="9573" max="9573" customWidth="1" width="8"/>
    <col min="9574" max="9574" customWidth="1" width="8"/>
    <col min="9575" max="9575" customWidth="1" width="8"/>
    <col min="9576" max="9576" customWidth="1" width="8"/>
    <col min="9577" max="9577" customWidth="1" width="8"/>
    <col min="9578" max="9578" customWidth="1" width="8"/>
    <col min="9579" max="9579" customWidth="1" width="8"/>
    <col min="9580" max="9580" customWidth="1" width="8"/>
    <col min="9581" max="9581" customWidth="1" width="8"/>
    <col min="9582" max="9582" customWidth="1" width="8"/>
    <col min="9583" max="9583" customWidth="1" width="8"/>
    <col min="9584" max="9584" customWidth="1" width="8"/>
    <col min="9585" max="9585" customWidth="1" width="8"/>
    <col min="9586" max="9586" customWidth="1" width="8"/>
    <col min="9587" max="9587" customWidth="1" width="8"/>
    <col min="9588" max="9588" customWidth="1" width="8"/>
    <col min="9589" max="9589" customWidth="1" width="8"/>
    <col min="9590" max="9590" customWidth="1" width="8"/>
    <col min="9591" max="9591" customWidth="1" width="8"/>
    <col min="9592" max="9592" customWidth="1" width="8"/>
    <col min="9593" max="9593" customWidth="1" width="8"/>
    <col min="9594" max="9594" customWidth="1" width="8"/>
    <col min="9595" max="9595" customWidth="1" width="8"/>
    <col min="9596" max="9596" customWidth="1" width="8"/>
    <col min="9597" max="9597" customWidth="1" width="8"/>
    <col min="9598" max="9598" customWidth="1" width="8"/>
    <col min="9599" max="9599" customWidth="1" width="8"/>
    <col min="9600" max="9600" customWidth="1" width="8"/>
    <col min="9601" max="9601" customWidth="1" width="8"/>
    <col min="9602" max="9602" customWidth="1" width="8"/>
    <col min="9603" max="9603" customWidth="1" width="8"/>
    <col min="9604" max="9604" customWidth="1" width="8"/>
    <col min="9605" max="9605" customWidth="1" width="8"/>
    <col min="9606" max="9606" customWidth="1" width="8"/>
    <col min="9607" max="9607" customWidth="1" width="8"/>
    <col min="9608" max="9608" customWidth="1" width="8"/>
    <col min="9609" max="9609" customWidth="1" width="8"/>
    <col min="9610" max="9610" customWidth="1" width="8"/>
    <col min="9611" max="9611" customWidth="1" width="8"/>
    <col min="9612" max="9612" customWidth="1" width="8"/>
    <col min="9613" max="9613" customWidth="1" width="8"/>
    <col min="9614" max="9614" customWidth="1" width="8"/>
    <col min="9615" max="9615" customWidth="1" width="8"/>
    <col min="9616" max="9616" customWidth="1" width="8"/>
    <col min="9617" max="9617" customWidth="1" width="8"/>
    <col min="9618" max="9618" customWidth="1" width="8"/>
    <col min="9619" max="9619" customWidth="1" width="8"/>
    <col min="9620" max="9620" customWidth="1" width="8"/>
    <col min="9621" max="9621" customWidth="1" width="8"/>
    <col min="9622" max="9622" customWidth="1" width="8"/>
    <col min="9623" max="9623" customWidth="1" width="8"/>
    <col min="9624" max="9624" customWidth="1" width="8"/>
    <col min="9625" max="9625" customWidth="1" width="8"/>
    <col min="9626" max="9626" customWidth="1" width="8"/>
    <col min="9627" max="9627" customWidth="1" width="8"/>
    <col min="9628" max="9628" customWidth="1" width="8"/>
    <col min="9629" max="9629" customWidth="1" width="8"/>
    <col min="9630" max="9630" customWidth="1" width="8"/>
    <col min="9631" max="9631" customWidth="1" width="8"/>
    <col min="9632" max="9632" customWidth="1" width="8"/>
    <col min="9633" max="9633" customWidth="1" width="8"/>
    <col min="9634" max="9634" customWidth="1" width="8"/>
    <col min="9635" max="9635" customWidth="1" width="8"/>
    <col min="9636" max="9636" customWidth="1" width="8"/>
    <col min="9637" max="9637" customWidth="1" width="8"/>
    <col min="9638" max="9638" customWidth="1" width="8"/>
    <col min="9639" max="9639" customWidth="1" width="8"/>
    <col min="9640" max="9640" customWidth="1" width="8"/>
    <col min="9641" max="9641" customWidth="1" width="8"/>
    <col min="9642" max="9642" customWidth="1" width="8"/>
    <col min="9643" max="9643" customWidth="1" width="8"/>
    <col min="9644" max="9644" customWidth="1" width="8"/>
    <col min="9645" max="9645" customWidth="1" width="8"/>
    <col min="9646" max="9646" customWidth="1" width="8"/>
    <col min="9647" max="9647" customWidth="1" width="8"/>
    <col min="9648" max="9648" customWidth="1" width="8"/>
    <col min="9649" max="9649" customWidth="1" width="8"/>
    <col min="9650" max="9650" customWidth="1" width="8"/>
    <col min="9651" max="9651" customWidth="1" width="8"/>
    <col min="9652" max="9652" customWidth="1" width="8"/>
    <col min="9653" max="9653" customWidth="1" width="8"/>
    <col min="9654" max="9654" customWidth="1" width="8"/>
    <col min="9655" max="9655" customWidth="1" width="8"/>
    <col min="9656" max="9656" customWidth="1" width="8"/>
    <col min="9657" max="9657" customWidth="1" width="8"/>
    <col min="9658" max="9658" customWidth="1" width="8"/>
    <col min="9659" max="9659" customWidth="1" width="8"/>
    <col min="9660" max="9660" customWidth="1" width="8"/>
    <col min="9661" max="9661" customWidth="1" width="8"/>
    <col min="9662" max="9662" customWidth="1" width="8"/>
    <col min="9663" max="9663" customWidth="1" width="8"/>
    <col min="9664" max="9664" customWidth="1" width="8"/>
    <col min="9665" max="9665" customWidth="1" width="8"/>
    <col min="9666" max="9666" customWidth="1" width="8"/>
    <col min="9667" max="9667" customWidth="1" width="8"/>
    <col min="9668" max="9668" customWidth="1" width="8"/>
    <col min="9669" max="9669" customWidth="1" width="8"/>
    <col min="9670" max="9670" customWidth="1" width="8"/>
    <col min="9671" max="9671" customWidth="1" width="8"/>
    <col min="9672" max="9672" customWidth="1" width="8"/>
    <col min="9673" max="9673" customWidth="1" width="8"/>
    <col min="9674" max="9674" customWidth="1" width="8"/>
    <col min="9675" max="9675" customWidth="1" width="8"/>
    <col min="9676" max="9676" customWidth="1" width="8"/>
    <col min="9677" max="9677" customWidth="1" width="8"/>
    <col min="9678" max="9678" customWidth="1" width="8"/>
    <col min="9679" max="9679" customWidth="1" width="8"/>
    <col min="9680" max="9680" customWidth="1" width="8"/>
    <col min="9681" max="9681" customWidth="1" width="8"/>
    <col min="9682" max="9682" customWidth="1" width="8"/>
    <col min="9683" max="9683" customWidth="1" width="8"/>
    <col min="9684" max="9684" customWidth="1" width="8"/>
    <col min="9685" max="9685" customWidth="1" width="8"/>
    <col min="9686" max="9686" customWidth="1" width="8"/>
    <col min="9687" max="9687" customWidth="1" width="8"/>
    <col min="9688" max="9688" customWidth="1" width="8"/>
    <col min="9689" max="9689" customWidth="1" width="8"/>
    <col min="9690" max="9690" customWidth="1" width="8"/>
    <col min="9691" max="9691" customWidth="1" width="8"/>
    <col min="9692" max="9692" customWidth="1" width="8"/>
    <col min="9693" max="9693" customWidth="1" width="8"/>
    <col min="9694" max="9694" customWidth="1" width="8"/>
    <col min="9695" max="9695" customWidth="1" width="8"/>
    <col min="9696" max="9696" customWidth="1" width="8"/>
    <col min="9697" max="9697" customWidth="1" width="8"/>
    <col min="9698" max="9698" customWidth="1" width="8"/>
    <col min="9699" max="9699" customWidth="1" width="8"/>
    <col min="9700" max="9700" customWidth="1" width="8"/>
    <col min="9701" max="9701" customWidth="1" width="8"/>
    <col min="9702" max="9702" customWidth="1" width="8"/>
    <col min="9703" max="9703" customWidth="1" width="8"/>
    <col min="9704" max="9704" customWidth="1" width="8"/>
    <col min="9705" max="9705" customWidth="1" width="8"/>
    <col min="9706" max="9706" customWidth="1" width="8"/>
    <col min="9707" max="9707" customWidth="1" width="8"/>
    <col min="9708" max="9708" customWidth="1" width="8"/>
    <col min="9709" max="9709" customWidth="1" width="8"/>
    <col min="9710" max="9710" customWidth="1" width="8"/>
    <col min="9711" max="9711" customWidth="1" width="8"/>
    <col min="9712" max="9712" customWidth="1" width="8"/>
    <col min="9713" max="9713" customWidth="1" width="8"/>
    <col min="9714" max="9714" customWidth="1" width="8"/>
    <col min="9715" max="9715" customWidth="1" width="8"/>
    <col min="9716" max="9716" customWidth="1" width="8"/>
    <col min="9717" max="9717" customWidth="1" width="8"/>
    <col min="9718" max="9718" customWidth="1" width="8"/>
    <col min="9719" max="9719" customWidth="1" width="8"/>
    <col min="9720" max="9720" customWidth="1" width="8"/>
    <col min="9721" max="9721" customWidth="1" width="8"/>
    <col min="9722" max="9722" customWidth="1" width="8"/>
    <col min="9723" max="9723" customWidth="1" width="8"/>
    <col min="9724" max="9724" customWidth="1" width="8"/>
    <col min="9725" max="9725" customWidth="1" width="8"/>
    <col min="9726" max="9726" customWidth="1" width="8"/>
    <col min="9727" max="9727" customWidth="1" width="8"/>
    <col min="9728" max="9728" customWidth="1" width="8"/>
    <col min="9729" max="9729" customWidth="1" width="8"/>
    <col min="9730" max="9730" customWidth="1" width="8"/>
    <col min="9731" max="9731" customWidth="1" width="8"/>
    <col min="9732" max="9732" customWidth="1" width="8"/>
    <col min="9733" max="9733" customWidth="1" width="8"/>
    <col min="9734" max="9734" customWidth="1" width="8"/>
    <col min="9735" max="9735" customWidth="1" width="8"/>
    <col min="9736" max="9736" customWidth="1" width="8"/>
    <col min="9737" max="9737" customWidth="1" width="8"/>
    <col min="9738" max="9738" customWidth="1" width="8"/>
    <col min="9739" max="9739" customWidth="1" width="8"/>
    <col min="9740" max="9740" customWidth="1" width="8"/>
    <col min="9741" max="9741" customWidth="1" width="8"/>
    <col min="9742" max="9742" customWidth="1" width="8"/>
    <col min="9743" max="9743" customWidth="1" width="8"/>
    <col min="9744" max="9744" customWidth="1" width="8"/>
    <col min="9745" max="9745" customWidth="1" width="8"/>
    <col min="9746" max="9746" customWidth="1" width="8"/>
    <col min="9747" max="9747" customWidth="1" width="8"/>
    <col min="9748" max="9748" customWidth="1" width="8"/>
    <col min="9749" max="9749" customWidth="1" width="8"/>
    <col min="9750" max="9750" customWidth="1" width="8"/>
    <col min="9751" max="9751" customWidth="1" width="8"/>
    <col min="9752" max="9752" customWidth="1" width="8"/>
    <col min="9753" max="9753" customWidth="1" width="8"/>
    <col min="9754" max="9754" customWidth="1" width="8"/>
    <col min="9755" max="9755" customWidth="1" width="8"/>
    <col min="9756" max="9756" customWidth="1" width="8"/>
    <col min="9757" max="9757" customWidth="1" width="8"/>
    <col min="9758" max="9758" customWidth="1" width="8"/>
    <col min="9759" max="9759" customWidth="1" width="8"/>
    <col min="9760" max="9760" customWidth="1" width="8"/>
    <col min="9761" max="9761" customWidth="1" width="8"/>
    <col min="9762" max="9762" customWidth="1" width="8"/>
    <col min="9763" max="9763" customWidth="1" width="8"/>
    <col min="9764" max="9764" customWidth="1" width="8"/>
    <col min="9765" max="9765" customWidth="1" width="8"/>
    <col min="9766" max="9766" customWidth="1" width="8"/>
    <col min="9767" max="9767" customWidth="1" width="8"/>
    <col min="9768" max="9768" customWidth="1" width="8"/>
    <col min="9769" max="9769" customWidth="1" width="8"/>
    <col min="9770" max="9770" customWidth="1" width="8"/>
    <col min="9771" max="9771" customWidth="1" width="8"/>
    <col min="9772" max="9772" customWidth="1" width="8"/>
    <col min="9773" max="9773" customWidth="1" width="8"/>
    <col min="9774" max="9774" customWidth="1" width="8"/>
    <col min="9775" max="9775" customWidth="1" width="8"/>
    <col min="9776" max="9776" customWidth="1" width="8"/>
    <col min="9777" max="9777" customWidth="1" width="8"/>
    <col min="9778" max="9778" customWidth="1" width="8"/>
    <col min="9779" max="9779" customWidth="1" width="8"/>
    <col min="9780" max="9780" customWidth="1" width="8"/>
    <col min="9781" max="9781" customWidth="1" width="8"/>
    <col min="9782" max="9782" customWidth="1" width="8"/>
    <col min="9783" max="9783" customWidth="1" width="8"/>
    <col min="9784" max="9784" customWidth="1" width="8"/>
    <col min="9785" max="9785" customWidth="1" width="8"/>
    <col min="9786" max="9786" customWidth="1" width="8"/>
    <col min="9787" max="9787" customWidth="1" width="8"/>
    <col min="9788" max="9788" customWidth="1" width="8"/>
    <col min="9789" max="9789" customWidth="1" width="8"/>
    <col min="9790" max="9790" customWidth="1" width="8"/>
    <col min="9791" max="9791" customWidth="1" width="8"/>
    <col min="9792" max="9792" customWidth="1" width="8"/>
    <col min="9793" max="9793" customWidth="1" width="8"/>
    <col min="9794" max="9794" customWidth="1" width="8"/>
    <col min="9795" max="9795" customWidth="1" width="8"/>
    <col min="9796" max="9796" customWidth="1" width="8"/>
    <col min="9797" max="9797" customWidth="1" width="8"/>
    <col min="9798" max="9798" customWidth="1" width="8"/>
    <col min="9799" max="9799" customWidth="1" width="8"/>
    <col min="9800" max="9800" customWidth="1" width="8"/>
    <col min="9801" max="9801" customWidth="1" width="8"/>
    <col min="9802" max="9802" customWidth="1" width="8"/>
    <col min="9803" max="9803" customWidth="1" width="8"/>
    <col min="9804" max="9804" customWidth="1" width="8"/>
    <col min="9805" max="9805" customWidth="1" width="8"/>
    <col min="9806" max="9806" customWidth="1" width="8"/>
    <col min="9807" max="9807" customWidth="1" width="8"/>
    <col min="9808" max="9808" customWidth="1" width="8"/>
    <col min="9809" max="9809" customWidth="1" width="8"/>
    <col min="9810" max="9810" customWidth="1" width="8"/>
    <col min="9811" max="9811" customWidth="1" width="8"/>
    <col min="9812" max="9812" customWidth="1" width="8"/>
    <col min="9813" max="9813" customWidth="1" width="8"/>
    <col min="9814" max="9814" customWidth="1" width="8"/>
    <col min="9815" max="9815" customWidth="1" width="8"/>
    <col min="9816" max="9816" customWidth="1" width="8"/>
    <col min="9817" max="9817" customWidth="1" width="8"/>
    <col min="9818" max="9818" customWidth="1" width="8"/>
    <col min="9819" max="9819" customWidth="1" width="8"/>
    <col min="9820" max="9820" customWidth="1" width="8"/>
    <col min="9821" max="9821" customWidth="1" width="8"/>
    <col min="9822" max="9822" customWidth="1" width="8"/>
    <col min="9823" max="9823" customWidth="1" width="8"/>
    <col min="9824" max="9824" customWidth="1" width="8"/>
    <col min="9825" max="9825" customWidth="1" width="8"/>
    <col min="9826" max="9826" customWidth="1" width="8"/>
    <col min="9827" max="9827" customWidth="1" width="8"/>
    <col min="9828" max="9828" customWidth="1" width="8"/>
    <col min="9829" max="9829" customWidth="1" width="8"/>
    <col min="9830" max="9830" customWidth="1" width="8"/>
    <col min="9831" max="9831" customWidth="1" width="8"/>
    <col min="9832" max="9832" customWidth="1" width="8"/>
    <col min="9833" max="9833" customWidth="1" width="8"/>
    <col min="9834" max="9834" customWidth="1" width="8"/>
    <col min="9835" max="9835" customWidth="1" width="8"/>
    <col min="9836" max="9836" customWidth="1" width="8"/>
    <col min="9837" max="9837" customWidth="1" width="8"/>
    <col min="9838" max="9838" customWidth="1" width="8"/>
    <col min="9839" max="9839" customWidth="1" width="8"/>
    <col min="9840" max="9840" customWidth="1" width="8"/>
    <col min="9841" max="9841" customWidth="1" width="8"/>
    <col min="9842" max="9842" customWidth="1" width="8"/>
    <col min="9843" max="9843" customWidth="1" width="8"/>
    <col min="9844" max="9844" customWidth="1" width="8"/>
    <col min="9845" max="9845" customWidth="1" width="8"/>
    <col min="9846" max="9846" customWidth="1" width="8"/>
    <col min="9847" max="9847" customWidth="1" width="8"/>
    <col min="9848" max="9848" customWidth="1" width="8"/>
    <col min="9849" max="9849" customWidth="1" width="8"/>
    <col min="9850" max="9850" customWidth="1" width="8"/>
    <col min="9851" max="9851" customWidth="1" width="8"/>
    <col min="9852" max="9852" customWidth="1" width="8"/>
    <col min="9853" max="9853" customWidth="1" width="8"/>
    <col min="9854" max="9854" customWidth="1" width="8"/>
    <col min="9855" max="9855" customWidth="1" width="8"/>
    <col min="9856" max="9856" customWidth="1" width="8"/>
    <col min="9857" max="9857" customWidth="1" width="8"/>
    <col min="9858" max="9858" customWidth="1" width="8"/>
    <col min="9859" max="9859" customWidth="1" width="8"/>
    <col min="9860" max="9860" customWidth="1" width="8"/>
    <col min="9861" max="9861" customWidth="1" width="8"/>
    <col min="9862" max="9862" customWidth="1" width="8"/>
    <col min="9863" max="9863" customWidth="1" width="8"/>
    <col min="9864" max="9864" customWidth="1" width="8"/>
    <col min="9865" max="9865" customWidth="1" width="8"/>
    <col min="9866" max="9866" customWidth="1" width="8"/>
    <col min="9867" max="9867" customWidth="1" width="8"/>
    <col min="9868" max="9868" customWidth="1" width="8"/>
    <col min="9869" max="9869" customWidth="1" width="8"/>
    <col min="9870" max="9870" customWidth="1" width="8"/>
    <col min="9871" max="9871" customWidth="1" width="8"/>
    <col min="9872" max="9872" customWidth="1" width="8"/>
    <col min="9873" max="9873" customWidth="1" width="8"/>
    <col min="9874" max="9874" customWidth="1" width="8"/>
    <col min="9875" max="9875" customWidth="1" width="8"/>
    <col min="9876" max="9876" customWidth="1" width="8"/>
    <col min="9877" max="9877" customWidth="1" width="8"/>
    <col min="9878" max="9878" customWidth="1" width="8"/>
    <col min="9879" max="9879" customWidth="1" width="8"/>
    <col min="9880" max="9880" customWidth="1" width="8"/>
    <col min="9881" max="9881" customWidth="1" width="8"/>
    <col min="9882" max="9882" customWidth="1" width="8"/>
    <col min="9883" max="9883" customWidth="1" width="8"/>
    <col min="9884" max="9884" customWidth="1" width="8"/>
    <col min="9885" max="9885" customWidth="1" width="8"/>
    <col min="9886" max="9886" customWidth="1" width="8"/>
    <col min="9887" max="9887" customWidth="1" width="8"/>
    <col min="9888" max="9888" customWidth="1" width="8"/>
    <col min="9889" max="9889" customWidth="1" width="8"/>
    <col min="9890" max="9890" customWidth="1" width="8"/>
    <col min="9891" max="9891" customWidth="1" width="8"/>
    <col min="9892" max="9892" customWidth="1" width="8"/>
    <col min="9893" max="9893" customWidth="1" width="8"/>
    <col min="9894" max="9894" customWidth="1" width="8"/>
    <col min="9895" max="9895" customWidth="1" width="8"/>
    <col min="9896" max="9896" customWidth="1" width="8"/>
    <col min="9897" max="9897" customWidth="1" width="8"/>
    <col min="9898" max="9898" customWidth="1" width="8"/>
    <col min="9899" max="9899" customWidth="1" width="8"/>
    <col min="9900" max="9900" customWidth="1" width="8"/>
    <col min="9901" max="9901" customWidth="1" width="8"/>
    <col min="9902" max="9902" customWidth="1" width="8"/>
    <col min="9903" max="9903" customWidth="1" width="8"/>
    <col min="9904" max="9904" customWidth="1" width="8"/>
    <col min="9905" max="9905" customWidth="1" width="8"/>
    <col min="9906" max="9906" customWidth="1" width="8"/>
    <col min="9907" max="9907" customWidth="1" width="8"/>
    <col min="9908" max="9908" customWidth="1" width="8"/>
    <col min="9909" max="9909" customWidth="1" width="8"/>
    <col min="9910" max="9910" customWidth="1" width="8"/>
    <col min="9911" max="9911" customWidth="1" width="8"/>
    <col min="9912" max="9912" customWidth="1" width="8"/>
    <col min="9913" max="9913" customWidth="1" width="8"/>
    <col min="9914" max="9914" customWidth="1" width="8"/>
    <col min="9915" max="9915" customWidth="1" width="8"/>
    <col min="9916" max="9916" customWidth="1" width="8"/>
    <col min="9917" max="9917" customWidth="1" width="8"/>
    <col min="9918" max="9918" customWidth="1" width="8"/>
    <col min="9919" max="9919" customWidth="1" width="8"/>
    <col min="9920" max="9920" customWidth="1" width="8"/>
    <col min="9921" max="9921" customWidth="1" width="8"/>
    <col min="9922" max="9922" customWidth="1" width="8"/>
    <col min="9923" max="9923" customWidth="1" width="8"/>
    <col min="9924" max="9924" customWidth="1" width="8"/>
    <col min="9925" max="9925" customWidth="1" width="8"/>
    <col min="9926" max="9926" customWidth="1" width="8"/>
    <col min="9927" max="9927" customWidth="1" width="8"/>
    <col min="9928" max="9928" customWidth="1" width="8"/>
    <col min="9929" max="9929" customWidth="1" width="8"/>
    <col min="9930" max="9930" customWidth="1" width="8"/>
    <col min="9931" max="9931" customWidth="1" width="8"/>
    <col min="9932" max="9932" customWidth="1" width="8"/>
    <col min="9933" max="9933" customWidth="1" width="8"/>
    <col min="9934" max="9934" customWidth="1" width="8"/>
    <col min="9935" max="9935" customWidth="1" width="8"/>
    <col min="9936" max="9936" customWidth="1" width="8"/>
    <col min="9937" max="9937" customWidth="1" width="8"/>
    <col min="9938" max="9938" customWidth="1" width="8"/>
    <col min="9939" max="9939" customWidth="1" width="8"/>
    <col min="9940" max="9940" customWidth="1" width="8"/>
    <col min="9941" max="9941" customWidth="1" width="8"/>
    <col min="9942" max="9942" customWidth="1" width="8"/>
    <col min="9943" max="9943" customWidth="1" width="8"/>
    <col min="9944" max="9944" customWidth="1" width="8"/>
    <col min="9945" max="9945" customWidth="1" width="8"/>
    <col min="9946" max="9946" customWidth="1" width="8"/>
    <col min="9947" max="9947" customWidth="1" width="8"/>
    <col min="9948" max="9948" customWidth="1" width="8"/>
    <col min="9949" max="9949" customWidth="1" width="8"/>
    <col min="9950" max="9950" customWidth="1" width="8"/>
    <col min="9951" max="9951" customWidth="1" width="8"/>
    <col min="9952" max="9952" customWidth="1" width="8"/>
    <col min="9953" max="9953" customWidth="1" width="8"/>
    <col min="9954" max="9954" customWidth="1" width="8"/>
    <col min="9955" max="9955" customWidth="1" width="8"/>
    <col min="9956" max="9956" customWidth="1" width="8"/>
    <col min="9957" max="9957" customWidth="1" width="8"/>
    <col min="9958" max="9958" customWidth="1" width="8"/>
    <col min="9959" max="9959" customWidth="1" width="8"/>
    <col min="9960" max="9960" customWidth="1" width="8"/>
    <col min="9961" max="9961" customWidth="1" width="8"/>
    <col min="9962" max="9962" customWidth="1" width="8"/>
    <col min="9963" max="9963" customWidth="1" width="8"/>
    <col min="9964" max="9964" customWidth="1" width="8"/>
    <col min="9965" max="9965" customWidth="1" width="8"/>
    <col min="9966" max="9966" customWidth="1" width="8"/>
    <col min="9967" max="9967" customWidth="1" width="8"/>
    <col min="9968" max="9968" customWidth="1" width="8"/>
    <col min="9969" max="9969" customWidth="1" width="8"/>
    <col min="9970" max="9970" customWidth="1" width="8"/>
    <col min="9971" max="9971" customWidth="1" width="8"/>
    <col min="9972" max="9972" customWidth="1" width="8"/>
    <col min="9973" max="9973" customWidth="1" width="8"/>
    <col min="9974" max="9974" customWidth="1" width="8"/>
    <col min="9975" max="9975" customWidth="1" width="8"/>
    <col min="9976" max="9976" customWidth="1" width="8"/>
    <col min="9977" max="9977" customWidth="1" width="8"/>
    <col min="9978" max="9978" customWidth="1" width="8"/>
    <col min="9979" max="9979" customWidth="1" width="8"/>
    <col min="9980" max="9980" customWidth="1" width="8"/>
    <col min="9981" max="9981" customWidth="1" width="8"/>
    <col min="9982" max="9982" customWidth="1" width="8"/>
    <col min="9983" max="9983" customWidth="1" width="8"/>
    <col min="9984" max="9984" customWidth="1" width="8"/>
    <col min="9985" max="9985" customWidth="1" width="8"/>
    <col min="9986" max="9986" customWidth="1" width="8"/>
    <col min="9987" max="9987" customWidth="1" width="8"/>
    <col min="9988" max="9988" customWidth="1" width="8"/>
    <col min="9989" max="9989" customWidth="1" width="8"/>
    <col min="9990" max="9990" customWidth="1" width="8"/>
    <col min="9991" max="9991" customWidth="1" width="8"/>
    <col min="9992" max="9992" customWidth="1" width="8"/>
    <col min="9993" max="9993" customWidth="1" width="8"/>
    <col min="9994" max="9994" customWidth="1" width="8"/>
    <col min="9995" max="9995" customWidth="1" width="8"/>
    <col min="9996" max="9996" customWidth="1" width="8"/>
    <col min="9997" max="9997" customWidth="1" width="8"/>
    <col min="9998" max="9998" customWidth="1" width="8"/>
    <col min="9999" max="9999" customWidth="1" width="8"/>
    <col min="10000" max="10000" customWidth="1" width="8"/>
    <col min="10001" max="10001" customWidth="1" width="8"/>
    <col min="10002" max="10002" customWidth="1" width="8"/>
    <col min="10003" max="10003" customWidth="1" width="8"/>
    <col min="10004" max="10004" customWidth="1" width="8"/>
    <col min="10005" max="10005" customWidth="1" width="8"/>
    <col min="10006" max="10006" customWidth="1" width="8"/>
    <col min="10007" max="10007" customWidth="1" width="8"/>
    <col min="10008" max="10008" customWidth="1" width="8"/>
    <col min="10009" max="10009" customWidth="1" width="8"/>
    <col min="10010" max="10010" customWidth="1" width="8"/>
    <col min="10011" max="10011" customWidth="1" width="8"/>
    <col min="10012" max="10012" customWidth="1" width="8"/>
    <col min="10013" max="10013" customWidth="1" width="8"/>
    <col min="10014" max="10014" customWidth="1" width="8"/>
    <col min="10015" max="10015" customWidth="1" width="8"/>
    <col min="10016" max="10016" customWidth="1" width="8"/>
    <col min="10017" max="10017" customWidth="1" width="8"/>
    <col min="10018" max="10018" customWidth="1" width="8"/>
    <col min="10019" max="10019" customWidth="1" width="8"/>
    <col min="10020" max="10020" customWidth="1" width="8"/>
    <col min="10021" max="10021" customWidth="1" width="8"/>
    <col min="10022" max="10022" customWidth="1" width="8"/>
    <col min="10023" max="10023" customWidth="1" width="8"/>
    <col min="10024" max="10024" customWidth="1" width="8"/>
    <col min="10025" max="10025" customWidth="1" width="8"/>
    <col min="10026" max="10026" customWidth="1" width="8"/>
    <col min="10027" max="10027" customWidth="1" width="8"/>
    <col min="10028" max="10028" customWidth="1" width="8"/>
    <col min="10029" max="10029" customWidth="1" width="8"/>
    <col min="10030" max="10030" customWidth="1" width="8"/>
    <col min="10031" max="10031" customWidth="1" width="8"/>
    <col min="10032" max="10032" customWidth="1" width="8"/>
    <col min="10033" max="10033" customWidth="1" width="8"/>
    <col min="10034" max="10034" customWidth="1" width="8"/>
    <col min="10035" max="10035" customWidth="1" width="8"/>
    <col min="10036" max="10036" customWidth="1" width="8"/>
    <col min="10037" max="10037" customWidth="1" width="8"/>
    <col min="10038" max="10038" customWidth="1" width="8"/>
    <col min="10039" max="10039" customWidth="1" width="8"/>
    <col min="10040" max="10040" customWidth="1" width="8"/>
    <col min="10041" max="10041" customWidth="1" width="8"/>
    <col min="10042" max="10042" customWidth="1" width="8"/>
    <col min="10043" max="10043" customWidth="1" width="8"/>
    <col min="10044" max="10044" customWidth="1" width="8"/>
    <col min="10045" max="10045" customWidth="1" width="8"/>
    <col min="10046" max="10046" customWidth="1" width="8"/>
    <col min="10047" max="10047" customWidth="1" width="8"/>
    <col min="10048" max="10048" customWidth="1" width="8"/>
    <col min="10049" max="10049" customWidth="1" width="8"/>
    <col min="10050" max="10050" customWidth="1" width="8"/>
    <col min="10051" max="10051" customWidth="1" width="8"/>
    <col min="10052" max="10052" customWidth="1" width="8"/>
    <col min="10053" max="10053" customWidth="1" width="8"/>
    <col min="10054" max="10054" customWidth="1" width="8"/>
    <col min="10055" max="10055" customWidth="1" width="8"/>
    <col min="10056" max="10056" customWidth="1" width="8"/>
    <col min="10057" max="10057" customWidth="1" width="8"/>
    <col min="10058" max="10058" customWidth="1" width="8"/>
    <col min="10059" max="10059" customWidth="1" width="8"/>
    <col min="10060" max="10060" customWidth="1" width="8"/>
    <col min="10061" max="10061" customWidth="1" width="8"/>
    <col min="10062" max="10062" customWidth="1" width="8"/>
    <col min="10063" max="10063" customWidth="1" width="8"/>
    <col min="10064" max="10064" customWidth="1" width="8"/>
    <col min="10065" max="10065" customWidth="1" width="8"/>
    <col min="10066" max="10066" customWidth="1" width="8"/>
    <col min="10067" max="10067" customWidth="1" width="8"/>
    <col min="10068" max="10068" customWidth="1" width="8"/>
    <col min="10069" max="10069" customWidth="1" width="8"/>
    <col min="10070" max="10070" customWidth="1" width="8"/>
    <col min="10071" max="10071" customWidth="1" width="8"/>
    <col min="10072" max="10072" customWidth="1" width="8"/>
    <col min="10073" max="10073" customWidth="1" width="8"/>
    <col min="10074" max="10074" customWidth="1" width="8"/>
    <col min="10075" max="10075" customWidth="1" width="8"/>
    <col min="10076" max="10076" customWidth="1" width="8"/>
    <col min="10077" max="10077" customWidth="1" width="8"/>
    <col min="10078" max="10078" customWidth="1" width="8"/>
    <col min="10079" max="10079" customWidth="1" width="8"/>
    <col min="10080" max="10080" customWidth="1" width="8"/>
    <col min="10081" max="10081" customWidth="1" width="8"/>
    <col min="10082" max="10082" customWidth="1" width="8"/>
    <col min="10083" max="10083" customWidth="1" width="8"/>
    <col min="10084" max="10084" customWidth="1" width="8"/>
    <col min="10085" max="10085" customWidth="1" width="8"/>
    <col min="10086" max="10086" customWidth="1" width="8"/>
    <col min="10087" max="10087" customWidth="1" width="8"/>
    <col min="10088" max="10088" customWidth="1" width="8"/>
    <col min="10089" max="10089" customWidth="1" width="8"/>
    <col min="10090" max="10090" customWidth="1" width="8"/>
    <col min="10091" max="10091" customWidth="1" width="8"/>
    <col min="10092" max="10092" customWidth="1" width="8"/>
    <col min="10093" max="10093" customWidth="1" width="8"/>
    <col min="10094" max="10094" customWidth="1" width="8"/>
    <col min="10095" max="10095" customWidth="1" width="8"/>
    <col min="10096" max="10096" customWidth="1" width="8"/>
    <col min="10097" max="10097" customWidth="1" width="8"/>
    <col min="10098" max="10098" customWidth="1" width="8"/>
    <col min="10099" max="10099" customWidth="1" width="8"/>
    <col min="10100" max="10100" customWidth="1" width="8"/>
    <col min="10101" max="10101" customWidth="1" width="8"/>
    <col min="10102" max="10102" customWidth="1" width="8"/>
    <col min="10103" max="10103" customWidth="1" width="8"/>
    <col min="10104" max="10104" customWidth="1" width="8"/>
    <col min="10105" max="10105" customWidth="1" width="8"/>
    <col min="10106" max="10106" customWidth="1" width="8"/>
    <col min="10107" max="10107" customWidth="1" width="8"/>
    <col min="10108" max="10108" customWidth="1" width="8"/>
    <col min="10109" max="10109" customWidth="1" width="8"/>
    <col min="10110" max="10110" customWidth="1" width="8"/>
    <col min="10111" max="10111" customWidth="1" width="8"/>
    <col min="10112" max="10112" customWidth="1" width="8"/>
    <col min="10113" max="10113" customWidth="1" width="8"/>
    <col min="10114" max="10114" customWidth="1" width="8"/>
    <col min="10115" max="10115" customWidth="1" width="8"/>
    <col min="10116" max="10116" customWidth="1" width="8"/>
    <col min="10117" max="10117" customWidth="1" width="8"/>
    <col min="10118" max="10118" customWidth="1" width="8"/>
    <col min="10119" max="10119" customWidth="1" width="8"/>
    <col min="10120" max="10120" customWidth="1" width="8"/>
    <col min="10121" max="10121" customWidth="1" width="8"/>
    <col min="10122" max="10122" customWidth="1" width="8"/>
    <col min="10123" max="10123" customWidth="1" width="8"/>
    <col min="10124" max="10124" customWidth="1" width="8"/>
    <col min="10125" max="10125" customWidth="1" width="8"/>
    <col min="10126" max="10126" customWidth="1" width="8"/>
    <col min="10127" max="10127" customWidth="1" width="8"/>
    <col min="10128" max="10128" customWidth="1" width="8"/>
    <col min="10129" max="10129" customWidth="1" width="8"/>
    <col min="10130" max="10130" customWidth="1" width="8"/>
    <col min="10131" max="10131" customWidth="1" width="8"/>
    <col min="10132" max="10132" customWidth="1" width="8"/>
    <col min="10133" max="10133" customWidth="1" width="8"/>
    <col min="10134" max="10134" customWidth="1" width="8"/>
    <col min="10135" max="10135" customWidth="1" width="8"/>
    <col min="10136" max="10136" customWidth="1" width="8"/>
    <col min="10137" max="10137" customWidth="1" width="8"/>
    <col min="10138" max="10138" customWidth="1" width="8"/>
    <col min="10139" max="10139" customWidth="1" width="8"/>
    <col min="10140" max="10140" customWidth="1" width="8"/>
    <col min="10141" max="10141" customWidth="1" width="8"/>
    <col min="10142" max="10142" customWidth="1" width="8"/>
    <col min="10143" max="10143" customWidth="1" width="8"/>
    <col min="10144" max="10144" customWidth="1" width="8"/>
    <col min="10145" max="10145" customWidth="1" width="8"/>
    <col min="10146" max="10146" customWidth="1" width="8"/>
    <col min="10147" max="10147" customWidth="1" width="8"/>
    <col min="10148" max="10148" customWidth="1" width="8"/>
    <col min="10149" max="10149" customWidth="1" width="8"/>
    <col min="10150" max="10150" customWidth="1" width="8"/>
    <col min="10151" max="10151" customWidth="1" width="8"/>
    <col min="10152" max="10152" customWidth="1" width="8"/>
    <col min="10153" max="10153" customWidth="1" width="8"/>
    <col min="10154" max="10154" customWidth="1" width="8"/>
    <col min="10155" max="10155" customWidth="1" width="8"/>
    <col min="10156" max="10156" customWidth="1" width="8"/>
    <col min="10157" max="10157" customWidth="1" width="8"/>
    <col min="10158" max="10158" customWidth="1" width="8"/>
    <col min="10159" max="10159" customWidth="1" width="8"/>
    <col min="10160" max="10160" customWidth="1" width="8"/>
    <col min="10161" max="10161" customWidth="1" width="8"/>
    <col min="10162" max="10162" customWidth="1" width="8"/>
    <col min="10163" max="10163" customWidth="1" width="8"/>
    <col min="10164" max="10164" customWidth="1" width="8"/>
    <col min="10165" max="10165" customWidth="1" width="8"/>
    <col min="10166" max="10166" customWidth="1" width="8"/>
    <col min="10167" max="10167" customWidth="1" width="8"/>
    <col min="10168" max="10168" customWidth="1" width="8"/>
    <col min="10169" max="10169" customWidth="1" width="8"/>
    <col min="10170" max="10170" customWidth="1" width="8"/>
    <col min="10171" max="10171" customWidth="1" width="8"/>
    <col min="10172" max="10172" customWidth="1" width="8"/>
    <col min="10173" max="10173" customWidth="1" width="8"/>
    <col min="10174" max="10174" customWidth="1" width="8"/>
    <col min="10175" max="10175" customWidth="1" width="8"/>
    <col min="10176" max="10176" customWidth="1" width="8"/>
    <col min="10177" max="10177" customWidth="1" width="8"/>
    <col min="10178" max="10178" customWidth="1" width="8"/>
    <col min="10179" max="10179" customWidth="1" width="8"/>
    <col min="10180" max="10180" customWidth="1" width="8"/>
    <col min="10181" max="10181" customWidth="1" width="8"/>
    <col min="10182" max="10182" customWidth="1" width="8"/>
    <col min="10183" max="10183" customWidth="1" width="8"/>
    <col min="10184" max="10184" customWidth="1" width="8"/>
    <col min="10185" max="10185" customWidth="1" width="8"/>
    <col min="10186" max="10186" customWidth="1" width="8"/>
    <col min="10187" max="10187" customWidth="1" width="8"/>
    <col min="10188" max="10188" customWidth="1" width="8"/>
    <col min="10189" max="10189" customWidth="1" width="8"/>
    <col min="10190" max="10190" customWidth="1" width="8"/>
    <col min="10191" max="10191" customWidth="1" width="8"/>
    <col min="10192" max="10192" customWidth="1" width="8"/>
    <col min="10193" max="10193" customWidth="1" width="8"/>
    <col min="10194" max="10194" customWidth="1" width="8"/>
    <col min="10195" max="10195" customWidth="1" width="8"/>
    <col min="10196" max="10196" customWidth="1" width="8"/>
    <col min="10197" max="10197" customWidth="1" width="8"/>
    <col min="10198" max="10198" customWidth="1" width="8"/>
    <col min="10199" max="10199" customWidth="1" width="8"/>
    <col min="10200" max="10200" customWidth="1" width="8"/>
    <col min="10201" max="10201" customWidth="1" width="8"/>
    <col min="10202" max="10202" customWidth="1" width="8"/>
    <col min="10203" max="10203" customWidth="1" width="8"/>
    <col min="10204" max="10204" customWidth="1" width="8"/>
    <col min="10205" max="10205" customWidth="1" width="8"/>
    <col min="10206" max="10206" customWidth="1" width="8"/>
    <col min="10207" max="10207" customWidth="1" width="8"/>
    <col min="10208" max="10208" customWidth="1" width="8"/>
    <col min="10209" max="10209" customWidth="1" width="8"/>
    <col min="10210" max="10210" customWidth="1" width="8"/>
    <col min="10211" max="10211" customWidth="1" width="8"/>
    <col min="10212" max="10212" customWidth="1" width="8"/>
    <col min="10213" max="10213" customWidth="1" width="8"/>
    <col min="10214" max="10214" customWidth="1" width="8"/>
    <col min="10215" max="10215" customWidth="1" width="8"/>
    <col min="10216" max="10216" customWidth="1" width="8"/>
    <col min="10217" max="10217" customWidth="1" width="8"/>
    <col min="10218" max="10218" customWidth="1" width="8"/>
    <col min="10219" max="10219" customWidth="1" width="8"/>
    <col min="10220" max="10220" customWidth="1" width="8"/>
    <col min="10221" max="10221" customWidth="1" width="8"/>
    <col min="10222" max="10222" customWidth="1" width="8"/>
    <col min="10223" max="10223" customWidth="1" width="8"/>
    <col min="10224" max="10224" customWidth="1" width="8"/>
    <col min="10225" max="10225" customWidth="1" width="8"/>
    <col min="10226" max="10226" customWidth="1" width="8"/>
    <col min="10227" max="10227" customWidth="1" width="8"/>
    <col min="10228" max="10228" customWidth="1" width="8"/>
    <col min="10229" max="10229" customWidth="1" width="8"/>
    <col min="10230" max="10230" customWidth="1" width="8"/>
    <col min="10231" max="10231" customWidth="1" width="8"/>
    <col min="10232" max="10232" customWidth="1" width="8"/>
    <col min="10233" max="10233" customWidth="1" width="8"/>
    <col min="10234" max="10234" customWidth="1" width="8"/>
    <col min="10235" max="10235" customWidth="1" width="8"/>
    <col min="10236" max="10236" customWidth="1" width="8"/>
    <col min="10237" max="10237" customWidth="1" width="8"/>
    <col min="10238" max="10238" customWidth="1" width="8"/>
    <col min="10239" max="10239" customWidth="1" width="8"/>
    <col min="10240" max="10240" customWidth="1" width="8"/>
    <col min="10241" max="10241" customWidth="1" width="8"/>
    <col min="10242" max="10242" customWidth="1" width="8"/>
    <col min="10243" max="10243" customWidth="1" width="8"/>
    <col min="10244" max="10244" customWidth="1" width="8"/>
    <col min="10245" max="10245" customWidth="1" width="8"/>
    <col min="10246" max="10246" customWidth="1" width="8"/>
    <col min="10247" max="10247" customWidth="1" width="8"/>
    <col min="10248" max="10248" customWidth="1" width="8"/>
    <col min="10249" max="10249" customWidth="1" width="8"/>
    <col min="10250" max="10250" customWidth="1" width="8"/>
    <col min="10251" max="10251" customWidth="1" width="8"/>
    <col min="10252" max="10252" customWidth="1" width="8"/>
    <col min="10253" max="10253" customWidth="1" width="8"/>
    <col min="10254" max="10254" customWidth="1" width="8"/>
    <col min="10255" max="10255" customWidth="1" width="8"/>
    <col min="10256" max="10256" customWidth="1" width="8"/>
    <col min="10257" max="10257" customWidth="1" width="8"/>
    <col min="10258" max="10258" customWidth="1" width="8"/>
    <col min="10259" max="10259" customWidth="1" width="8"/>
    <col min="10260" max="10260" customWidth="1" width="8"/>
    <col min="10261" max="10261" customWidth="1" width="8"/>
    <col min="10262" max="10262" customWidth="1" width="8"/>
    <col min="10263" max="10263" customWidth="1" width="8"/>
    <col min="10264" max="10264" customWidth="1" width="8"/>
    <col min="10265" max="10265" customWidth="1" width="8"/>
    <col min="10266" max="10266" customWidth="1" width="8"/>
    <col min="10267" max="10267" customWidth="1" width="8"/>
    <col min="10268" max="10268" customWidth="1" width="8"/>
    <col min="10269" max="10269" customWidth="1" width="8"/>
    <col min="10270" max="10270" customWidth="1" width="8"/>
    <col min="10271" max="10271" customWidth="1" width="8"/>
    <col min="10272" max="10272" customWidth="1" width="8"/>
    <col min="10273" max="10273" customWidth="1" width="8"/>
    <col min="10274" max="10274" customWidth="1" width="8"/>
    <col min="10275" max="10275" customWidth="1" width="8"/>
    <col min="10276" max="10276" customWidth="1" width="8"/>
    <col min="10277" max="10277" customWidth="1" width="8"/>
    <col min="10278" max="10278" customWidth="1" width="8"/>
    <col min="10279" max="10279" customWidth="1" width="8"/>
    <col min="10280" max="10280" customWidth="1" width="8"/>
    <col min="10281" max="10281" customWidth="1" width="8"/>
    <col min="10282" max="10282" customWidth="1" width="8"/>
    <col min="10283" max="10283" customWidth="1" width="8"/>
    <col min="10284" max="10284" customWidth="1" width="8"/>
    <col min="10285" max="10285" customWidth="1" width="8"/>
    <col min="10286" max="10286" customWidth="1" width="8"/>
    <col min="10287" max="10287" customWidth="1" width="8"/>
    <col min="10288" max="10288" customWidth="1" width="8"/>
    <col min="10289" max="10289" customWidth="1" width="8"/>
    <col min="10290" max="10290" customWidth="1" width="8"/>
    <col min="10291" max="10291" customWidth="1" width="8"/>
    <col min="10292" max="10292" customWidth="1" width="8"/>
    <col min="10293" max="10293" customWidth="1" width="8"/>
    <col min="10294" max="10294" customWidth="1" width="8"/>
    <col min="10295" max="10295" customWidth="1" width="8"/>
    <col min="10296" max="10296" customWidth="1" width="8"/>
    <col min="10297" max="10297" customWidth="1" width="8"/>
    <col min="10298" max="10298" customWidth="1" width="8"/>
    <col min="10299" max="10299" customWidth="1" width="8"/>
    <col min="10300" max="10300" customWidth="1" width="8"/>
    <col min="10301" max="10301" customWidth="1" width="8"/>
    <col min="10302" max="10302" customWidth="1" width="8"/>
    <col min="10303" max="10303" customWidth="1" width="8"/>
    <col min="10304" max="10304" customWidth="1" width="8"/>
    <col min="10305" max="10305" customWidth="1" width="8"/>
    <col min="10306" max="10306" customWidth="1" width="8"/>
    <col min="10307" max="10307" customWidth="1" width="8"/>
    <col min="10308" max="10308" customWidth="1" width="8"/>
    <col min="10309" max="10309" customWidth="1" width="8"/>
    <col min="10310" max="10310" customWidth="1" width="8"/>
    <col min="10311" max="10311" customWidth="1" width="8"/>
    <col min="10312" max="10312" customWidth="1" width="8"/>
    <col min="10313" max="10313" customWidth="1" width="8"/>
    <col min="10314" max="10314" customWidth="1" width="8"/>
    <col min="10315" max="10315" customWidth="1" width="8"/>
    <col min="10316" max="10316" customWidth="1" width="8"/>
    <col min="10317" max="10317" customWidth="1" width="8"/>
    <col min="10318" max="10318" customWidth="1" width="8"/>
    <col min="10319" max="10319" customWidth="1" width="8"/>
    <col min="10320" max="10320" customWidth="1" width="8"/>
    <col min="10321" max="10321" customWidth="1" width="8"/>
    <col min="10322" max="10322" customWidth="1" width="8"/>
    <col min="10323" max="10323" customWidth="1" width="8"/>
    <col min="10324" max="10324" customWidth="1" width="8"/>
    <col min="10325" max="10325" customWidth="1" width="8"/>
    <col min="10326" max="10326" customWidth="1" width="8"/>
    <col min="10327" max="10327" customWidth="1" width="8"/>
    <col min="10328" max="10328" customWidth="1" width="8"/>
    <col min="10329" max="10329" customWidth="1" width="8"/>
    <col min="10330" max="10330" customWidth="1" width="8"/>
    <col min="10331" max="10331" customWidth="1" width="8"/>
    <col min="10332" max="10332" customWidth="1" width="8"/>
    <col min="10333" max="10333" customWidth="1" width="8"/>
    <col min="10334" max="10334" customWidth="1" width="8"/>
    <col min="10335" max="10335" customWidth="1" width="8"/>
    <col min="10336" max="10336" customWidth="1" width="8"/>
    <col min="10337" max="10337" customWidth="1" width="8"/>
    <col min="10338" max="10338" customWidth="1" width="8"/>
    <col min="10339" max="10339" customWidth="1" width="8"/>
    <col min="10340" max="10340" customWidth="1" width="8"/>
    <col min="10341" max="10341" customWidth="1" width="8"/>
    <col min="10342" max="10342" customWidth="1" width="8"/>
    <col min="10343" max="10343" customWidth="1" width="8"/>
    <col min="10344" max="10344" customWidth="1" width="8"/>
    <col min="10345" max="10345" customWidth="1" width="8"/>
    <col min="10346" max="10346" customWidth="1" width="8"/>
    <col min="10347" max="10347" customWidth="1" width="8"/>
    <col min="10348" max="10348" customWidth="1" width="8"/>
    <col min="10349" max="10349" customWidth="1" width="8"/>
    <col min="10350" max="10350" customWidth="1" width="8"/>
    <col min="10351" max="10351" customWidth="1" width="8"/>
    <col min="10352" max="10352" customWidth="1" width="8"/>
    <col min="10353" max="10353" customWidth="1" width="8"/>
    <col min="10354" max="10354" customWidth="1" width="8"/>
    <col min="10355" max="10355" customWidth="1" width="8"/>
    <col min="10356" max="10356" customWidth="1" width="8"/>
    <col min="10357" max="10357" customWidth="1" width="8"/>
    <col min="10358" max="10358" customWidth="1" width="8"/>
    <col min="10359" max="10359" customWidth="1" width="8"/>
    <col min="10360" max="10360" customWidth="1" width="8"/>
    <col min="10361" max="10361" customWidth="1" width="8"/>
    <col min="10362" max="10362" customWidth="1" width="8"/>
    <col min="10363" max="10363" customWidth="1" width="8"/>
    <col min="10364" max="10364" customWidth="1" width="8"/>
    <col min="10365" max="10365" customWidth="1" width="8"/>
    <col min="10366" max="10366" customWidth="1" width="8"/>
    <col min="10367" max="10367" customWidth="1" width="8"/>
    <col min="10368" max="10368" customWidth="1" width="8"/>
    <col min="10369" max="10369" customWidth="1" width="8"/>
    <col min="10370" max="10370" customWidth="1" width="8"/>
    <col min="10371" max="10371" customWidth="1" width="8"/>
    <col min="10372" max="10372" customWidth="1" width="8"/>
    <col min="10373" max="10373" customWidth="1" width="8"/>
    <col min="10374" max="10374" customWidth="1" width="8"/>
    <col min="10375" max="10375" customWidth="1" width="8"/>
    <col min="10376" max="10376" customWidth="1" width="8"/>
    <col min="10377" max="10377" customWidth="1" width="8"/>
    <col min="10378" max="10378" customWidth="1" width="8"/>
    <col min="10379" max="10379" customWidth="1" width="8"/>
    <col min="10380" max="10380" customWidth="1" width="8"/>
    <col min="10381" max="10381" customWidth="1" width="8"/>
    <col min="10382" max="10382" customWidth="1" width="8"/>
    <col min="10383" max="10383" customWidth="1" width="8"/>
    <col min="10384" max="10384" customWidth="1" width="8"/>
    <col min="10385" max="10385" customWidth="1" width="8"/>
    <col min="10386" max="10386" customWidth="1" width="8"/>
    <col min="10387" max="10387" customWidth="1" width="8"/>
    <col min="10388" max="10388" customWidth="1" width="8"/>
    <col min="10389" max="10389" customWidth="1" width="8"/>
    <col min="10390" max="10390" customWidth="1" width="8"/>
    <col min="10391" max="10391" customWidth="1" width="8"/>
    <col min="10392" max="10392" customWidth="1" width="8"/>
    <col min="10393" max="10393" customWidth="1" width="8"/>
    <col min="10394" max="10394" customWidth="1" width="8"/>
    <col min="10395" max="10395" customWidth="1" width="8"/>
    <col min="10396" max="10396" customWidth="1" width="8"/>
    <col min="10397" max="10397" customWidth="1" width="8"/>
    <col min="10398" max="10398" customWidth="1" width="8"/>
    <col min="10399" max="10399" customWidth="1" width="8"/>
    <col min="10400" max="10400" customWidth="1" width="8"/>
    <col min="10401" max="10401" customWidth="1" width="8"/>
    <col min="10402" max="10402" customWidth="1" width="8"/>
    <col min="10403" max="10403" customWidth="1" width="8"/>
    <col min="10404" max="10404" customWidth="1" width="8"/>
    <col min="10405" max="10405" customWidth="1" width="8"/>
    <col min="10406" max="10406" customWidth="1" width="8"/>
    <col min="10407" max="10407" customWidth="1" width="8"/>
    <col min="10408" max="10408" customWidth="1" width="8"/>
    <col min="10409" max="10409" customWidth="1" width="8"/>
    <col min="10410" max="10410" customWidth="1" width="8"/>
    <col min="10411" max="10411" customWidth="1" width="8"/>
    <col min="10412" max="10412" customWidth="1" width="8"/>
    <col min="10413" max="10413" customWidth="1" width="8"/>
    <col min="10414" max="10414" customWidth="1" width="8"/>
    <col min="10415" max="10415" customWidth="1" width="8"/>
    <col min="10416" max="10416" customWidth="1" width="8"/>
    <col min="10417" max="10417" customWidth="1" width="8"/>
    <col min="10418" max="10418" customWidth="1" width="8"/>
    <col min="10419" max="10419" customWidth="1" width="8"/>
    <col min="10420" max="10420" customWidth="1" width="8"/>
    <col min="10421" max="10421" customWidth="1" width="8"/>
    <col min="10422" max="10422" customWidth="1" width="8"/>
    <col min="10423" max="10423" customWidth="1" width="8"/>
    <col min="10424" max="10424" customWidth="1" width="8"/>
    <col min="10425" max="10425" customWidth="1" width="8"/>
    <col min="10426" max="10426" customWidth="1" width="8"/>
    <col min="10427" max="10427" customWidth="1" width="8"/>
    <col min="10428" max="10428" customWidth="1" width="8"/>
    <col min="10429" max="10429" customWidth="1" width="8"/>
    <col min="10430" max="10430" customWidth="1" width="8"/>
    <col min="10431" max="10431" customWidth="1" width="8"/>
    <col min="10432" max="10432" customWidth="1" width="8"/>
    <col min="10433" max="10433" customWidth="1" width="8"/>
    <col min="10434" max="10434" customWidth="1" width="8"/>
    <col min="10435" max="10435" customWidth="1" width="8"/>
    <col min="10436" max="10436" customWidth="1" width="8"/>
    <col min="10437" max="10437" customWidth="1" width="8"/>
    <col min="10438" max="10438" customWidth="1" width="8"/>
    <col min="10439" max="10439" customWidth="1" width="8"/>
    <col min="10440" max="10440" customWidth="1" width="8"/>
    <col min="10441" max="10441" customWidth="1" width="8"/>
    <col min="10442" max="10442" customWidth="1" width="8"/>
    <col min="10443" max="10443" customWidth="1" width="8"/>
    <col min="10444" max="10444" customWidth="1" width="8"/>
    <col min="10445" max="10445" customWidth="1" width="8"/>
    <col min="10446" max="10446" customWidth="1" width="8"/>
    <col min="10447" max="10447" customWidth="1" width="8"/>
    <col min="10448" max="10448" customWidth="1" width="8"/>
    <col min="10449" max="10449" customWidth="1" width="8"/>
    <col min="10450" max="10450" customWidth="1" width="8"/>
    <col min="10451" max="10451" customWidth="1" width="8"/>
    <col min="10452" max="10452" customWidth="1" width="8"/>
    <col min="10453" max="10453" customWidth="1" width="8"/>
    <col min="10454" max="10454" customWidth="1" width="8"/>
    <col min="10455" max="10455" customWidth="1" width="8"/>
    <col min="10456" max="10456" customWidth="1" width="8"/>
    <col min="10457" max="10457" customWidth="1" width="8"/>
    <col min="10458" max="10458" customWidth="1" width="8"/>
    <col min="10459" max="10459" customWidth="1" width="8"/>
    <col min="10460" max="10460" customWidth="1" width="8"/>
    <col min="10461" max="10461" customWidth="1" width="8"/>
    <col min="10462" max="10462" customWidth="1" width="8"/>
    <col min="10463" max="10463" customWidth="1" width="8"/>
    <col min="10464" max="10464" customWidth="1" width="8"/>
    <col min="10465" max="10465" customWidth="1" width="8"/>
    <col min="10466" max="10466" customWidth="1" width="8"/>
    <col min="10467" max="10467" customWidth="1" width="8"/>
    <col min="10468" max="10468" customWidth="1" width="8"/>
    <col min="10469" max="10469" customWidth="1" width="8"/>
    <col min="10470" max="10470" customWidth="1" width="8"/>
    <col min="10471" max="10471" customWidth="1" width="8"/>
    <col min="10472" max="10472" customWidth="1" width="8"/>
    <col min="10473" max="10473" customWidth="1" width="8"/>
    <col min="10474" max="10474" customWidth="1" width="8"/>
    <col min="10475" max="10475" customWidth="1" width="8"/>
    <col min="10476" max="10476" customWidth="1" width="8"/>
    <col min="10477" max="10477" customWidth="1" width="8"/>
    <col min="10478" max="10478" customWidth="1" width="8"/>
    <col min="10479" max="10479" customWidth="1" width="8"/>
    <col min="10480" max="10480" customWidth="1" width="8"/>
    <col min="10481" max="10481" customWidth="1" width="8"/>
    <col min="10482" max="10482" customWidth="1" width="8"/>
    <col min="10483" max="10483" customWidth="1" width="8"/>
    <col min="10484" max="10484" customWidth="1" width="8"/>
    <col min="10485" max="10485" customWidth="1" width="8"/>
    <col min="10486" max="10486" customWidth="1" width="8"/>
    <col min="10487" max="10487" customWidth="1" width="8"/>
    <col min="10488" max="10488" customWidth="1" width="8"/>
    <col min="10489" max="10489" customWidth="1" width="8"/>
    <col min="10490" max="10490" customWidth="1" width="8"/>
    <col min="10491" max="10491" customWidth="1" width="8"/>
    <col min="10492" max="10492" customWidth="1" width="8"/>
    <col min="10493" max="10493" customWidth="1" width="8"/>
    <col min="10494" max="10494" customWidth="1" width="8"/>
    <col min="10495" max="10495" customWidth="1" width="8"/>
    <col min="10496" max="10496" customWidth="1" width="8"/>
    <col min="10497" max="10497" customWidth="1" width="8"/>
    <col min="10498" max="10498" customWidth="1" width="8"/>
    <col min="10499" max="10499" customWidth="1" width="8"/>
    <col min="10500" max="10500" customWidth="1" width="8"/>
    <col min="10501" max="10501" customWidth="1" width="8"/>
    <col min="10502" max="10502" customWidth="1" width="8"/>
    <col min="10503" max="10503" customWidth="1" width="8"/>
    <col min="10504" max="10504" customWidth="1" width="8"/>
    <col min="10505" max="10505" customWidth="1" width="8"/>
    <col min="10506" max="10506" customWidth="1" width="8"/>
    <col min="10507" max="10507" customWidth="1" width="8"/>
    <col min="10508" max="10508" customWidth="1" width="8"/>
    <col min="10509" max="10509" customWidth="1" width="8"/>
    <col min="10510" max="10510" customWidth="1" width="8"/>
    <col min="10511" max="10511" customWidth="1" width="8"/>
    <col min="10512" max="10512" customWidth="1" width="8"/>
    <col min="10513" max="10513" customWidth="1" width="8"/>
    <col min="10514" max="10514" customWidth="1" width="8"/>
    <col min="10515" max="10515" customWidth="1" width="8"/>
    <col min="10516" max="10516" customWidth="1" width="8"/>
    <col min="10517" max="10517" customWidth="1" width="8"/>
    <col min="10518" max="10518" customWidth="1" width="8"/>
    <col min="10519" max="10519" customWidth="1" width="8"/>
    <col min="10520" max="10520" customWidth="1" width="8"/>
    <col min="10521" max="10521" customWidth="1" width="8"/>
    <col min="10522" max="10522" customWidth="1" width="8"/>
    <col min="10523" max="10523" customWidth="1" width="8"/>
    <col min="10524" max="10524" customWidth="1" width="8"/>
    <col min="10525" max="10525" customWidth="1" width="8"/>
    <col min="10526" max="10526" customWidth="1" width="8"/>
    <col min="10527" max="10527" customWidth="1" width="8"/>
    <col min="10528" max="10528" customWidth="1" width="8"/>
    <col min="10529" max="10529" customWidth="1" width="8"/>
    <col min="10530" max="10530" customWidth="1" width="8"/>
    <col min="10531" max="10531" customWidth="1" width="8"/>
    <col min="10532" max="10532" customWidth="1" width="8"/>
    <col min="10533" max="10533" customWidth="1" width="8"/>
    <col min="10534" max="10534" customWidth="1" width="8"/>
    <col min="10535" max="10535" customWidth="1" width="8"/>
    <col min="10536" max="10536" customWidth="1" width="8"/>
    <col min="10537" max="10537" customWidth="1" width="8"/>
    <col min="10538" max="10538" customWidth="1" width="8"/>
    <col min="10539" max="10539" customWidth="1" width="8"/>
    <col min="10540" max="10540" customWidth="1" width="8"/>
    <col min="10541" max="10541" customWidth="1" width="8"/>
    <col min="10542" max="10542" customWidth="1" width="8"/>
    <col min="10543" max="10543" customWidth="1" width="8"/>
    <col min="10544" max="10544" customWidth="1" width="8"/>
    <col min="10545" max="10545" customWidth="1" width="8"/>
    <col min="10546" max="10546" customWidth="1" width="8"/>
    <col min="10547" max="10547" customWidth="1" width="8"/>
    <col min="10548" max="10548" customWidth="1" width="8"/>
    <col min="10549" max="10549" customWidth="1" width="8"/>
    <col min="10550" max="10550" customWidth="1" width="8"/>
    <col min="10551" max="10551" customWidth="1" width="8"/>
    <col min="10552" max="10552" customWidth="1" width="8"/>
    <col min="10553" max="10553" customWidth="1" width="8"/>
    <col min="10554" max="10554" customWidth="1" width="8"/>
    <col min="10555" max="10555" customWidth="1" width="8"/>
    <col min="10556" max="10556" customWidth="1" width="8"/>
    <col min="10557" max="10557" customWidth="1" width="8"/>
    <col min="10558" max="10558" customWidth="1" width="8"/>
    <col min="10559" max="10559" customWidth="1" width="8"/>
    <col min="10560" max="10560" customWidth="1" width="8"/>
    <col min="10561" max="10561" customWidth="1" width="8"/>
    <col min="10562" max="10562" customWidth="1" width="8"/>
    <col min="10563" max="10563" customWidth="1" width="8"/>
    <col min="10564" max="10564" customWidth="1" width="8"/>
    <col min="10565" max="10565" customWidth="1" width="8"/>
    <col min="10566" max="10566" customWidth="1" width="8"/>
    <col min="10567" max="10567" customWidth="1" width="8"/>
    <col min="10568" max="10568" customWidth="1" width="8"/>
    <col min="10569" max="10569" customWidth="1" width="8"/>
    <col min="10570" max="10570" customWidth="1" width="8"/>
    <col min="10571" max="10571" customWidth="1" width="8"/>
    <col min="10572" max="10572" customWidth="1" width="8"/>
    <col min="10573" max="10573" customWidth="1" width="8"/>
    <col min="10574" max="10574" customWidth="1" width="8"/>
    <col min="10575" max="10575" customWidth="1" width="8"/>
    <col min="10576" max="10576" customWidth="1" width="8"/>
    <col min="10577" max="10577" customWidth="1" width="8"/>
    <col min="10578" max="10578" customWidth="1" width="8"/>
    <col min="10579" max="10579" customWidth="1" width="8"/>
    <col min="10580" max="10580" customWidth="1" width="8"/>
    <col min="10581" max="10581" customWidth="1" width="8"/>
    <col min="10582" max="10582" customWidth="1" width="8"/>
    <col min="10583" max="10583" customWidth="1" width="8"/>
    <col min="10584" max="10584" customWidth="1" width="8"/>
    <col min="10585" max="10585" customWidth="1" width="8"/>
    <col min="10586" max="10586" customWidth="1" width="8"/>
    <col min="10587" max="10587" customWidth="1" width="8"/>
    <col min="10588" max="10588" customWidth="1" width="8"/>
    <col min="10589" max="10589" customWidth="1" width="8"/>
    <col min="10590" max="10590" customWidth="1" width="8"/>
    <col min="10591" max="10591" customWidth="1" width="8"/>
    <col min="10592" max="10592" customWidth="1" width="8"/>
    <col min="10593" max="10593" customWidth="1" width="8"/>
    <col min="10594" max="10594" customWidth="1" width="8"/>
    <col min="10595" max="10595" customWidth="1" width="8"/>
    <col min="10596" max="10596" customWidth="1" width="8"/>
    <col min="10597" max="10597" customWidth="1" width="8"/>
    <col min="10598" max="10598" customWidth="1" width="8"/>
    <col min="10599" max="10599" customWidth="1" width="8"/>
    <col min="10600" max="10600" customWidth="1" width="8"/>
    <col min="10601" max="10601" customWidth="1" width="8"/>
    <col min="10602" max="10602" customWidth="1" width="8"/>
    <col min="10603" max="10603" customWidth="1" width="8"/>
    <col min="10604" max="10604" customWidth="1" width="8"/>
    <col min="10605" max="10605" customWidth="1" width="8"/>
    <col min="10606" max="10606" customWidth="1" width="8"/>
    <col min="10607" max="10607" customWidth="1" width="8"/>
    <col min="10608" max="10608" customWidth="1" width="8"/>
    <col min="10609" max="10609" customWidth="1" width="8"/>
    <col min="10610" max="10610" customWidth="1" width="8"/>
    <col min="10611" max="10611" customWidth="1" width="8"/>
    <col min="10612" max="10612" customWidth="1" width="8"/>
    <col min="10613" max="10613" customWidth="1" width="8"/>
    <col min="10614" max="10614" customWidth="1" width="8"/>
    <col min="10615" max="10615" customWidth="1" width="8"/>
    <col min="10616" max="10616" customWidth="1" width="8"/>
    <col min="10617" max="10617" customWidth="1" width="8"/>
    <col min="10618" max="10618" customWidth="1" width="8"/>
    <col min="10619" max="10619" customWidth="1" width="8"/>
    <col min="10620" max="10620" customWidth="1" width="8"/>
    <col min="10621" max="10621" customWidth="1" width="8"/>
    <col min="10622" max="10622" customWidth="1" width="8"/>
    <col min="10623" max="10623" customWidth="1" width="8"/>
    <col min="10624" max="10624" customWidth="1" width="8"/>
    <col min="10625" max="10625" customWidth="1" width="8"/>
    <col min="10626" max="10626" customWidth="1" width="8"/>
    <col min="10627" max="10627" customWidth="1" width="8"/>
    <col min="10628" max="10628" customWidth="1" width="8"/>
    <col min="10629" max="10629" customWidth="1" width="8"/>
    <col min="10630" max="10630" customWidth="1" width="8"/>
    <col min="10631" max="10631" customWidth="1" width="8"/>
    <col min="10632" max="10632" customWidth="1" width="8"/>
    <col min="10633" max="10633" customWidth="1" width="8"/>
    <col min="10634" max="10634" customWidth="1" width="8"/>
    <col min="10635" max="10635" customWidth="1" width="8"/>
    <col min="10636" max="10636" customWidth="1" width="8"/>
    <col min="10637" max="10637" customWidth="1" width="8"/>
    <col min="10638" max="10638" customWidth="1" width="8"/>
    <col min="10639" max="10639" customWidth="1" width="8"/>
    <col min="10640" max="10640" customWidth="1" width="8"/>
    <col min="10641" max="10641" customWidth="1" width="8"/>
    <col min="10642" max="10642" customWidth="1" width="8"/>
    <col min="10643" max="10643" customWidth="1" width="8"/>
    <col min="10644" max="10644" customWidth="1" width="8"/>
    <col min="10645" max="10645" customWidth="1" width="8"/>
    <col min="10646" max="10646" customWidth="1" width="8"/>
    <col min="10647" max="10647" customWidth="1" width="8"/>
    <col min="10648" max="10648" customWidth="1" width="8"/>
    <col min="10649" max="10649" customWidth="1" width="8"/>
    <col min="10650" max="10650" customWidth="1" width="8"/>
    <col min="10651" max="10651" customWidth="1" width="8"/>
    <col min="10652" max="10652" customWidth="1" width="8"/>
    <col min="10653" max="10653" customWidth="1" width="8"/>
    <col min="10654" max="10654" customWidth="1" width="8"/>
    <col min="10655" max="10655" customWidth="1" width="8"/>
    <col min="10656" max="10656" customWidth="1" width="8"/>
    <col min="10657" max="10657" customWidth="1" width="8"/>
    <col min="10658" max="10658" customWidth="1" width="8"/>
    <col min="10659" max="10659" customWidth="1" width="8"/>
    <col min="10660" max="10660" customWidth="1" width="8"/>
    <col min="10661" max="10661" customWidth="1" width="8"/>
    <col min="10662" max="10662" customWidth="1" width="8"/>
    <col min="10663" max="10663" customWidth="1" width="8"/>
    <col min="10664" max="10664" customWidth="1" width="8"/>
    <col min="10665" max="10665" customWidth="1" width="8"/>
    <col min="10666" max="10666" customWidth="1" width="8"/>
    <col min="10667" max="10667" customWidth="1" width="8"/>
    <col min="10668" max="10668" customWidth="1" width="8"/>
    <col min="10669" max="10669" customWidth="1" width="8"/>
    <col min="10670" max="10670" customWidth="1" width="8"/>
    <col min="10671" max="10671" customWidth="1" width="8"/>
    <col min="10672" max="10672" customWidth="1" width="8"/>
    <col min="10673" max="10673" customWidth="1" width="8"/>
    <col min="10674" max="10674" customWidth="1" width="8"/>
    <col min="10675" max="10675" customWidth="1" width="8"/>
    <col min="10676" max="10676" customWidth="1" width="8"/>
    <col min="10677" max="10677" customWidth="1" width="8"/>
    <col min="10678" max="10678" customWidth="1" width="8"/>
    <col min="10679" max="10679" customWidth="1" width="8"/>
    <col min="10680" max="10680" customWidth="1" width="8"/>
    <col min="10681" max="10681" customWidth="1" width="8"/>
    <col min="10682" max="10682" customWidth="1" width="8"/>
    <col min="10683" max="10683" customWidth="1" width="8"/>
    <col min="10684" max="10684" customWidth="1" width="8"/>
    <col min="10685" max="10685" customWidth="1" width="8"/>
    <col min="10686" max="10686" customWidth="1" width="8"/>
    <col min="10687" max="10687" customWidth="1" width="8"/>
    <col min="10688" max="10688" customWidth="1" width="8"/>
    <col min="10689" max="10689" customWidth="1" width="8"/>
    <col min="10690" max="10690" customWidth="1" width="8"/>
    <col min="10691" max="10691" customWidth="1" width="8"/>
    <col min="10692" max="10692" customWidth="1" width="8"/>
    <col min="10693" max="10693" customWidth="1" width="8"/>
    <col min="10694" max="10694" customWidth="1" width="8"/>
    <col min="10695" max="10695" customWidth="1" width="8"/>
    <col min="10696" max="10696" customWidth="1" width="8"/>
    <col min="10697" max="10697" customWidth="1" width="8"/>
    <col min="10698" max="10698" customWidth="1" width="8"/>
    <col min="10699" max="10699" customWidth="1" width="8"/>
    <col min="10700" max="10700" customWidth="1" width="8"/>
    <col min="10701" max="10701" customWidth="1" width="8"/>
    <col min="10702" max="10702" customWidth="1" width="8"/>
    <col min="10703" max="10703" customWidth="1" width="8"/>
    <col min="10704" max="10704" customWidth="1" width="8"/>
    <col min="10705" max="10705" customWidth="1" width="8"/>
    <col min="10706" max="10706" customWidth="1" width="8"/>
    <col min="10707" max="10707" customWidth="1" width="8"/>
    <col min="10708" max="10708" customWidth="1" width="8"/>
    <col min="10709" max="10709" customWidth="1" width="8"/>
    <col min="10710" max="10710" customWidth="1" width="8"/>
    <col min="10711" max="10711" customWidth="1" width="8"/>
    <col min="10712" max="10712" customWidth="1" width="8"/>
    <col min="10713" max="10713" customWidth="1" width="8"/>
    <col min="10714" max="10714" customWidth="1" width="8"/>
    <col min="10715" max="10715" customWidth="1" width="8"/>
    <col min="10716" max="10716" customWidth="1" width="8"/>
    <col min="10717" max="10717" customWidth="1" width="8"/>
    <col min="10718" max="10718" customWidth="1" width="8"/>
    <col min="10719" max="10719" customWidth="1" width="8"/>
    <col min="10720" max="10720" customWidth="1" width="8"/>
    <col min="10721" max="10721" customWidth="1" width="8"/>
    <col min="10722" max="10722" customWidth="1" width="8"/>
    <col min="10723" max="10723" customWidth="1" width="8"/>
    <col min="10724" max="10724" customWidth="1" width="8"/>
    <col min="10725" max="10725" customWidth="1" width="8"/>
    <col min="10726" max="10726" customWidth="1" width="8"/>
    <col min="10727" max="10727" customWidth="1" width="8"/>
    <col min="10728" max="10728" customWidth="1" width="8"/>
    <col min="10729" max="10729" customWidth="1" width="8"/>
    <col min="10730" max="10730" customWidth="1" width="8"/>
    <col min="10731" max="10731" customWidth="1" width="8"/>
    <col min="10732" max="10732" customWidth="1" width="8"/>
    <col min="10733" max="10733" customWidth="1" width="8"/>
    <col min="10734" max="10734" customWidth="1" width="8"/>
    <col min="10735" max="10735" customWidth="1" width="8"/>
    <col min="10736" max="10736" customWidth="1" width="8"/>
    <col min="10737" max="10737" customWidth="1" width="8"/>
    <col min="10738" max="10738" customWidth="1" width="8"/>
    <col min="10739" max="10739" customWidth="1" width="8"/>
    <col min="10740" max="10740" customWidth="1" width="8"/>
    <col min="10741" max="10741" customWidth="1" width="8"/>
    <col min="10742" max="10742" customWidth="1" width="8"/>
    <col min="10743" max="10743" customWidth="1" width="8"/>
    <col min="10744" max="10744" customWidth="1" width="8"/>
    <col min="10745" max="10745" customWidth="1" width="8"/>
    <col min="10746" max="10746" customWidth="1" width="8"/>
    <col min="10747" max="10747" customWidth="1" width="8"/>
    <col min="10748" max="10748" customWidth="1" width="8"/>
    <col min="10749" max="10749" customWidth="1" width="8"/>
    <col min="10750" max="10750" customWidth="1" width="8"/>
    <col min="10751" max="10751" customWidth="1" width="8"/>
    <col min="10752" max="10752" customWidth="1" width="8"/>
    <col min="10753" max="10753" customWidth="1" width="8"/>
    <col min="10754" max="10754" customWidth="1" width="8"/>
    <col min="10755" max="10755" customWidth="1" width="8"/>
    <col min="10756" max="10756" customWidth="1" width="8"/>
    <col min="10757" max="10757" customWidth="1" width="8"/>
    <col min="10758" max="10758" customWidth="1" width="8"/>
    <col min="10759" max="10759" customWidth="1" width="8"/>
    <col min="10760" max="10760" customWidth="1" width="8"/>
    <col min="10761" max="10761" customWidth="1" width="8"/>
    <col min="10762" max="10762" customWidth="1" width="8"/>
    <col min="10763" max="10763" customWidth="1" width="8"/>
    <col min="10764" max="10764" customWidth="1" width="8"/>
    <col min="10765" max="10765" customWidth="1" width="8"/>
    <col min="10766" max="10766" customWidth="1" width="8"/>
    <col min="10767" max="10767" customWidth="1" width="8"/>
    <col min="10768" max="10768" customWidth="1" width="8"/>
    <col min="10769" max="10769" customWidth="1" width="8"/>
    <col min="10770" max="10770" customWidth="1" width="8"/>
    <col min="10771" max="10771" customWidth="1" width="8"/>
    <col min="10772" max="10772" customWidth="1" width="8"/>
    <col min="10773" max="10773" customWidth="1" width="8"/>
    <col min="10774" max="10774" customWidth="1" width="8"/>
    <col min="10775" max="10775" customWidth="1" width="8"/>
    <col min="10776" max="10776" customWidth="1" width="8"/>
    <col min="10777" max="10777" customWidth="1" width="8"/>
    <col min="10778" max="10778" customWidth="1" width="8"/>
    <col min="10779" max="10779" customWidth="1" width="8"/>
    <col min="10780" max="10780" customWidth="1" width="8"/>
    <col min="10781" max="10781" customWidth="1" width="8"/>
    <col min="10782" max="10782" customWidth="1" width="8"/>
    <col min="10783" max="10783" customWidth="1" width="8"/>
    <col min="10784" max="10784" customWidth="1" width="8"/>
    <col min="10785" max="10785" customWidth="1" width="8"/>
    <col min="10786" max="10786" customWidth="1" width="8"/>
    <col min="10787" max="10787" customWidth="1" width="8"/>
    <col min="10788" max="10788" customWidth="1" width="8"/>
    <col min="10789" max="10789" customWidth="1" width="8"/>
    <col min="10790" max="10790" customWidth="1" width="8"/>
    <col min="10791" max="10791" customWidth="1" width="8"/>
    <col min="10792" max="10792" customWidth="1" width="8"/>
    <col min="10793" max="10793" customWidth="1" width="8"/>
    <col min="10794" max="10794" customWidth="1" width="8"/>
    <col min="10795" max="10795" customWidth="1" width="8"/>
    <col min="10796" max="10796" customWidth="1" width="8"/>
    <col min="10797" max="10797" customWidth="1" width="8"/>
    <col min="10798" max="10798" customWidth="1" width="8"/>
    <col min="10799" max="10799" customWidth="1" width="8"/>
    <col min="10800" max="10800" customWidth="1" width="8"/>
    <col min="10801" max="10801" customWidth="1" width="8"/>
    <col min="10802" max="10802" customWidth="1" width="8"/>
    <col min="10803" max="10803" customWidth="1" width="8"/>
    <col min="10804" max="10804" customWidth="1" width="8"/>
    <col min="10805" max="10805" customWidth="1" width="8"/>
    <col min="10806" max="10806" customWidth="1" width="8"/>
    <col min="10807" max="10807" customWidth="1" width="8"/>
    <col min="10808" max="10808" customWidth="1" width="8"/>
    <col min="10809" max="10809" customWidth="1" width="8"/>
    <col min="10810" max="10810" customWidth="1" width="8"/>
    <col min="10811" max="10811" customWidth="1" width="8"/>
    <col min="10812" max="10812" customWidth="1" width="8"/>
    <col min="10813" max="10813" customWidth="1" width="8"/>
    <col min="10814" max="10814" customWidth="1" width="8"/>
    <col min="10815" max="10815" customWidth="1" width="8"/>
    <col min="10816" max="10816" customWidth="1" width="8"/>
    <col min="10817" max="10817" customWidth="1" width="8"/>
    <col min="10818" max="10818" customWidth="1" width="8"/>
    <col min="10819" max="10819" customWidth="1" width="8"/>
    <col min="10820" max="10820" customWidth="1" width="8"/>
    <col min="10821" max="10821" customWidth="1" width="8"/>
    <col min="10822" max="10822" customWidth="1" width="8"/>
    <col min="10823" max="10823" customWidth="1" width="8"/>
    <col min="10824" max="10824" customWidth="1" width="8"/>
    <col min="10825" max="10825" customWidth="1" width="8"/>
    <col min="10826" max="10826" customWidth="1" width="8"/>
    <col min="10827" max="10827" customWidth="1" width="8"/>
    <col min="10828" max="10828" customWidth="1" width="8"/>
    <col min="10829" max="10829" customWidth="1" width="8"/>
    <col min="10830" max="10830" customWidth="1" width="8"/>
    <col min="10831" max="10831" customWidth="1" width="8"/>
    <col min="10832" max="10832" customWidth="1" width="8"/>
    <col min="10833" max="10833" customWidth="1" width="8"/>
    <col min="10834" max="10834" customWidth="1" width="8"/>
    <col min="10835" max="10835" customWidth="1" width="8"/>
    <col min="10836" max="10836" customWidth="1" width="8"/>
    <col min="10837" max="10837" customWidth="1" width="8"/>
    <col min="10838" max="10838" customWidth="1" width="8"/>
    <col min="10839" max="10839" customWidth="1" width="8"/>
    <col min="10840" max="10840" customWidth="1" width="8"/>
    <col min="10841" max="10841" customWidth="1" width="8"/>
    <col min="10842" max="10842" customWidth="1" width="8"/>
    <col min="10843" max="10843" customWidth="1" width="8"/>
    <col min="10844" max="10844" customWidth="1" width="8"/>
    <col min="10845" max="10845" customWidth="1" width="8"/>
    <col min="10846" max="10846" customWidth="1" width="8"/>
    <col min="10847" max="10847" customWidth="1" width="8"/>
    <col min="10848" max="10848" customWidth="1" width="8"/>
    <col min="10849" max="10849" customWidth="1" width="8"/>
    <col min="10850" max="10850" customWidth="1" width="8"/>
    <col min="10851" max="10851" customWidth="1" width="8"/>
    <col min="10852" max="10852" customWidth="1" width="8"/>
    <col min="10853" max="10853" customWidth="1" width="8"/>
    <col min="10854" max="10854" customWidth="1" width="8"/>
    <col min="10855" max="10855" customWidth="1" width="8"/>
    <col min="10856" max="10856" customWidth="1" width="8"/>
    <col min="10857" max="10857" customWidth="1" width="8"/>
    <col min="10858" max="10858" customWidth="1" width="8"/>
    <col min="10859" max="10859" customWidth="1" width="8"/>
    <col min="10860" max="10860" customWidth="1" width="8"/>
    <col min="10861" max="10861" customWidth="1" width="8"/>
    <col min="10862" max="10862" customWidth="1" width="8"/>
    <col min="10863" max="10863" customWidth="1" width="8"/>
    <col min="10864" max="10864" customWidth="1" width="8"/>
    <col min="10865" max="10865" customWidth="1" width="8"/>
    <col min="10866" max="10866" customWidth="1" width="8"/>
    <col min="10867" max="10867" customWidth="1" width="8"/>
    <col min="10868" max="10868" customWidth="1" width="8"/>
    <col min="10869" max="10869" customWidth="1" width="8"/>
    <col min="10870" max="10870" customWidth="1" width="8"/>
    <col min="10871" max="10871" customWidth="1" width="8"/>
    <col min="10872" max="10872" customWidth="1" width="8"/>
    <col min="10873" max="10873" customWidth="1" width="8"/>
    <col min="10874" max="10874" customWidth="1" width="8"/>
    <col min="10875" max="10875" customWidth="1" width="8"/>
    <col min="10876" max="10876" customWidth="1" width="8"/>
    <col min="10877" max="10877" customWidth="1" width="8"/>
    <col min="10878" max="10878" customWidth="1" width="8"/>
    <col min="10879" max="10879" customWidth="1" width="8"/>
    <col min="10880" max="10880" customWidth="1" width="8"/>
    <col min="10881" max="10881" customWidth="1" width="8"/>
    <col min="10882" max="10882" customWidth="1" width="8"/>
    <col min="10883" max="10883" customWidth="1" width="8"/>
    <col min="10884" max="10884" customWidth="1" width="8"/>
    <col min="10885" max="10885" customWidth="1" width="8"/>
    <col min="10886" max="10886" customWidth="1" width="8"/>
    <col min="10887" max="10887" customWidth="1" width="8"/>
    <col min="10888" max="10888" customWidth="1" width="8"/>
    <col min="10889" max="10889" customWidth="1" width="8"/>
    <col min="10890" max="10890" customWidth="1" width="8"/>
    <col min="10891" max="10891" customWidth="1" width="8"/>
    <col min="10892" max="10892" customWidth="1" width="8"/>
    <col min="10893" max="10893" customWidth="1" width="8"/>
    <col min="10894" max="10894" customWidth="1" width="8"/>
    <col min="10895" max="10895" customWidth="1" width="8"/>
    <col min="10896" max="10896" customWidth="1" width="8"/>
    <col min="10897" max="10897" customWidth="1" width="8"/>
    <col min="10898" max="10898" customWidth="1" width="8"/>
    <col min="10899" max="10899" customWidth="1" width="8"/>
    <col min="10900" max="10900" customWidth="1" width="8"/>
    <col min="10901" max="10901" customWidth="1" width="8"/>
    <col min="10902" max="10902" customWidth="1" width="8"/>
    <col min="10903" max="10903" customWidth="1" width="8"/>
    <col min="10904" max="10904" customWidth="1" width="8"/>
    <col min="10905" max="10905" customWidth="1" width="8"/>
    <col min="10906" max="10906" customWidth="1" width="8"/>
    <col min="10907" max="10907" customWidth="1" width="8"/>
    <col min="10908" max="10908" customWidth="1" width="8"/>
    <col min="10909" max="10909" customWidth="1" width="8"/>
    <col min="10910" max="10910" customWidth="1" width="8"/>
    <col min="10911" max="10911" customWidth="1" width="8"/>
    <col min="10912" max="10912" customWidth="1" width="8"/>
    <col min="10913" max="10913" customWidth="1" width="8"/>
    <col min="10914" max="10914" customWidth="1" width="8"/>
    <col min="10915" max="10915" customWidth="1" width="8"/>
    <col min="10916" max="10916" customWidth="1" width="8"/>
    <col min="10917" max="10917" customWidth="1" width="8"/>
    <col min="10918" max="10918" customWidth="1" width="8"/>
    <col min="10919" max="10919" customWidth="1" width="8"/>
    <col min="10920" max="10920" customWidth="1" width="8"/>
    <col min="10921" max="10921" customWidth="1" width="8"/>
    <col min="10922" max="10922" customWidth="1" width="8"/>
    <col min="10923" max="10923" customWidth="1" width="8"/>
    <col min="10924" max="10924" customWidth="1" width="8"/>
    <col min="10925" max="10925" customWidth="1" width="8"/>
    <col min="10926" max="10926" customWidth="1" width="8"/>
    <col min="10927" max="10927" customWidth="1" width="8"/>
    <col min="10928" max="10928" customWidth="1" width="8"/>
    <col min="10929" max="10929" customWidth="1" width="8"/>
    <col min="10930" max="10930" customWidth="1" width="8"/>
    <col min="10931" max="10931" customWidth="1" width="8"/>
    <col min="10932" max="10932" customWidth="1" width="8"/>
    <col min="10933" max="10933" customWidth="1" width="8"/>
    <col min="10934" max="10934" customWidth="1" width="8"/>
    <col min="10935" max="10935" customWidth="1" width="8"/>
    <col min="10936" max="10936" customWidth="1" width="8"/>
    <col min="10937" max="10937" customWidth="1" width="8"/>
    <col min="10938" max="10938" customWidth="1" width="8"/>
    <col min="10939" max="10939" customWidth="1" width="8"/>
    <col min="10940" max="10940" customWidth="1" width="8"/>
    <col min="10941" max="10941" customWidth="1" width="8"/>
    <col min="10942" max="10942" customWidth="1" width="8"/>
    <col min="10943" max="10943" customWidth="1" width="8"/>
    <col min="10944" max="10944" customWidth="1" width="8"/>
    <col min="10945" max="10945" customWidth="1" width="8"/>
    <col min="10946" max="10946" customWidth="1" width="8"/>
    <col min="10947" max="10947" customWidth="1" width="8"/>
    <col min="10948" max="10948" customWidth="1" width="8"/>
    <col min="10949" max="10949" customWidth="1" width="8"/>
    <col min="10950" max="10950" customWidth="1" width="8"/>
    <col min="10951" max="10951" customWidth="1" width="8"/>
    <col min="10952" max="10952" customWidth="1" width="8"/>
    <col min="10953" max="10953" customWidth="1" width="8"/>
    <col min="10954" max="10954" customWidth="1" width="8"/>
    <col min="10955" max="10955" customWidth="1" width="8"/>
    <col min="10956" max="10956" customWidth="1" width="8"/>
    <col min="10957" max="10957" customWidth="1" width="8"/>
    <col min="10958" max="10958" customWidth="1" width="8"/>
    <col min="10959" max="10959" customWidth="1" width="8"/>
    <col min="10960" max="10960" customWidth="1" width="8"/>
    <col min="10961" max="10961" customWidth="1" width="8"/>
    <col min="10962" max="10962" customWidth="1" width="8"/>
    <col min="10963" max="10963" customWidth="1" width="8"/>
    <col min="10964" max="10964" customWidth="1" width="8"/>
    <col min="10965" max="10965" customWidth="1" width="8"/>
    <col min="10966" max="10966" customWidth="1" width="8"/>
    <col min="10967" max="10967" customWidth="1" width="8"/>
    <col min="10968" max="10968" customWidth="1" width="8"/>
    <col min="10969" max="10969" customWidth="1" width="8"/>
    <col min="10970" max="10970" customWidth="1" width="8"/>
    <col min="10971" max="10971" customWidth="1" width="8"/>
    <col min="10972" max="10972" customWidth="1" width="8"/>
    <col min="10973" max="10973" customWidth="1" width="8"/>
    <col min="10974" max="10974" customWidth="1" width="8"/>
    <col min="10975" max="10975" customWidth="1" width="8"/>
    <col min="10976" max="10976" customWidth="1" width="8"/>
    <col min="10977" max="10977" customWidth="1" width="8"/>
    <col min="10978" max="10978" customWidth="1" width="8"/>
    <col min="10979" max="10979" customWidth="1" width="8"/>
    <col min="10980" max="10980" customWidth="1" width="8"/>
    <col min="10981" max="10981" customWidth="1" width="8"/>
    <col min="10982" max="10982" customWidth="1" width="8"/>
    <col min="10983" max="10983" customWidth="1" width="8"/>
    <col min="10984" max="10984" customWidth="1" width="8"/>
    <col min="10985" max="10985" customWidth="1" width="8"/>
    <col min="10986" max="10986" customWidth="1" width="8"/>
    <col min="10987" max="10987" customWidth="1" width="8"/>
    <col min="10988" max="10988" customWidth="1" width="8"/>
    <col min="10989" max="10989" customWidth="1" width="8"/>
    <col min="10990" max="10990" customWidth="1" width="8"/>
    <col min="10991" max="10991" customWidth="1" width="8"/>
    <col min="10992" max="10992" customWidth="1" width="8"/>
    <col min="10993" max="10993" customWidth="1" width="8"/>
    <col min="10994" max="10994" customWidth="1" width="8"/>
    <col min="10995" max="10995" customWidth="1" width="8"/>
    <col min="10996" max="10996" customWidth="1" width="8"/>
    <col min="10997" max="10997" customWidth="1" width="8"/>
    <col min="10998" max="10998" customWidth="1" width="8"/>
    <col min="10999" max="10999" customWidth="1" width="8"/>
    <col min="11000" max="11000" customWidth="1" width="8"/>
    <col min="11001" max="11001" customWidth="1" width="8"/>
    <col min="11002" max="11002" customWidth="1" width="8"/>
    <col min="11003" max="11003" customWidth="1" width="8"/>
    <col min="11004" max="11004" customWidth="1" width="8"/>
    <col min="11005" max="11005" customWidth="1" width="8"/>
    <col min="11006" max="11006" customWidth="1" width="8"/>
    <col min="11007" max="11007" customWidth="1" width="8"/>
    <col min="11008" max="11008" customWidth="1" width="8"/>
    <col min="11009" max="11009" customWidth="1" width="8"/>
    <col min="11010" max="11010" customWidth="1" width="8"/>
    <col min="11011" max="11011" customWidth="1" width="8"/>
    <col min="11012" max="11012" customWidth="1" width="8"/>
    <col min="11013" max="11013" customWidth="1" width="8"/>
    <col min="11014" max="11014" customWidth="1" width="8"/>
    <col min="11015" max="11015" customWidth="1" width="8"/>
    <col min="11016" max="11016" customWidth="1" width="8"/>
    <col min="11017" max="11017" customWidth="1" width="8"/>
    <col min="11018" max="11018" customWidth="1" width="8"/>
    <col min="11019" max="11019" customWidth="1" width="8"/>
    <col min="11020" max="11020" customWidth="1" width="8"/>
    <col min="11021" max="11021" customWidth="1" width="8"/>
    <col min="11022" max="11022" customWidth="1" width="8"/>
    <col min="11023" max="11023" customWidth="1" width="8"/>
    <col min="11024" max="11024" customWidth="1" width="8"/>
    <col min="11025" max="11025" customWidth="1" width="8"/>
    <col min="11026" max="11026" customWidth="1" width="8"/>
    <col min="11027" max="11027" customWidth="1" width="8"/>
    <col min="11028" max="11028" customWidth="1" width="8"/>
    <col min="11029" max="11029" customWidth="1" width="8"/>
    <col min="11030" max="11030" customWidth="1" width="8"/>
    <col min="11031" max="11031" customWidth="1" width="8"/>
    <col min="11032" max="11032" customWidth="1" width="8"/>
    <col min="11033" max="11033" customWidth="1" width="8"/>
    <col min="11034" max="11034" customWidth="1" width="8"/>
    <col min="11035" max="11035" customWidth="1" width="8"/>
    <col min="11036" max="11036" customWidth="1" width="8"/>
    <col min="11037" max="11037" customWidth="1" width="8"/>
    <col min="11038" max="11038" customWidth="1" width="8"/>
    <col min="11039" max="11039" customWidth="1" width="8"/>
    <col min="11040" max="11040" customWidth="1" width="8"/>
    <col min="11041" max="11041" customWidth="1" width="8"/>
    <col min="11042" max="11042" customWidth="1" width="8"/>
    <col min="11043" max="11043" customWidth="1" width="8"/>
    <col min="11044" max="11044" customWidth="1" width="8"/>
    <col min="11045" max="11045" customWidth="1" width="8"/>
    <col min="11046" max="11046" customWidth="1" width="8"/>
    <col min="11047" max="11047" customWidth="1" width="8"/>
    <col min="11048" max="11048" customWidth="1" width="8"/>
    <col min="11049" max="11049" customWidth="1" width="8"/>
    <col min="11050" max="11050" customWidth="1" width="8"/>
    <col min="11051" max="11051" customWidth="1" width="8"/>
    <col min="11052" max="11052" customWidth="1" width="8"/>
    <col min="11053" max="11053" customWidth="1" width="8"/>
    <col min="11054" max="11054" customWidth="1" width="8"/>
    <col min="11055" max="11055" customWidth="1" width="8"/>
    <col min="11056" max="11056" customWidth="1" width="8"/>
    <col min="11057" max="11057" customWidth="1" width="8"/>
    <col min="11058" max="11058" customWidth="1" width="8"/>
    <col min="11059" max="11059" customWidth="1" width="8"/>
    <col min="11060" max="11060" customWidth="1" width="8"/>
    <col min="11061" max="11061" customWidth="1" width="8"/>
    <col min="11062" max="11062" customWidth="1" width="8"/>
    <col min="11063" max="11063" customWidth="1" width="8"/>
    <col min="11064" max="11064" customWidth="1" width="8"/>
    <col min="11065" max="11065" customWidth="1" width="8"/>
    <col min="11066" max="11066" customWidth="1" width="8"/>
    <col min="11067" max="11067" customWidth="1" width="8"/>
    <col min="11068" max="11068" customWidth="1" width="8"/>
    <col min="11069" max="11069" customWidth="1" width="8"/>
    <col min="11070" max="11070" customWidth="1" width="8"/>
    <col min="11071" max="11071" customWidth="1" width="8"/>
    <col min="11072" max="11072" customWidth="1" width="8"/>
    <col min="11073" max="11073" customWidth="1" width="8"/>
    <col min="11074" max="11074" customWidth="1" width="8"/>
    <col min="11075" max="11075" customWidth="1" width="8"/>
    <col min="11076" max="11076" customWidth="1" width="8"/>
    <col min="11077" max="11077" customWidth="1" width="8"/>
    <col min="11078" max="11078" customWidth="1" width="8"/>
    <col min="11079" max="11079" customWidth="1" width="8"/>
    <col min="11080" max="11080" customWidth="1" width="8"/>
    <col min="11081" max="11081" customWidth="1" width="8"/>
    <col min="11082" max="11082" customWidth="1" width="8"/>
    <col min="11083" max="11083" customWidth="1" width="8"/>
    <col min="11084" max="11084" customWidth="1" width="8"/>
    <col min="11085" max="11085" customWidth="1" width="8"/>
    <col min="11086" max="11086" customWidth="1" width="8"/>
    <col min="11087" max="11087" customWidth="1" width="8"/>
    <col min="11088" max="11088" customWidth="1" width="8"/>
    <col min="11089" max="11089" customWidth="1" width="8"/>
    <col min="11090" max="11090" customWidth="1" width="8"/>
    <col min="11091" max="11091" customWidth="1" width="8"/>
    <col min="11092" max="11092" customWidth="1" width="8"/>
    <col min="11093" max="11093" customWidth="1" width="8"/>
    <col min="11094" max="11094" customWidth="1" width="8"/>
    <col min="11095" max="11095" customWidth="1" width="8"/>
    <col min="11096" max="11096" customWidth="1" width="8"/>
    <col min="11097" max="11097" customWidth="1" width="8"/>
    <col min="11098" max="11098" customWidth="1" width="8"/>
    <col min="11099" max="11099" customWidth="1" width="8"/>
    <col min="11100" max="11100" customWidth="1" width="8"/>
    <col min="11101" max="11101" customWidth="1" width="8"/>
    <col min="11102" max="11102" customWidth="1" width="8"/>
    <col min="11103" max="11103" customWidth="1" width="8"/>
    <col min="11104" max="11104" customWidth="1" width="8"/>
    <col min="11105" max="11105" customWidth="1" width="8"/>
    <col min="11106" max="11106" customWidth="1" width="8"/>
    <col min="11107" max="11107" customWidth="1" width="8"/>
    <col min="11108" max="11108" customWidth="1" width="8"/>
    <col min="11109" max="11109" customWidth="1" width="8"/>
    <col min="11110" max="11110" customWidth="1" width="8"/>
    <col min="11111" max="11111" customWidth="1" width="8"/>
    <col min="11112" max="11112" customWidth="1" width="8"/>
    <col min="11113" max="11113" customWidth="1" width="8"/>
    <col min="11114" max="11114" customWidth="1" width="8"/>
    <col min="11115" max="11115" customWidth="1" width="8"/>
    <col min="11116" max="11116" customWidth="1" width="8"/>
    <col min="11117" max="11117" customWidth="1" width="8"/>
    <col min="11118" max="11118" customWidth="1" width="8"/>
    <col min="11119" max="11119" customWidth="1" width="8"/>
    <col min="11120" max="11120" customWidth="1" width="8"/>
    <col min="11121" max="11121" customWidth="1" width="8"/>
    <col min="11122" max="11122" customWidth="1" width="8"/>
    <col min="11123" max="11123" customWidth="1" width="8"/>
    <col min="11124" max="11124" customWidth="1" width="8"/>
    <col min="11125" max="11125" customWidth="1" width="8"/>
    <col min="11126" max="11126" customWidth="1" width="8"/>
    <col min="11127" max="11127" customWidth="1" width="8"/>
    <col min="11128" max="11128" customWidth="1" width="8"/>
    <col min="11129" max="11129" customWidth="1" width="8"/>
    <col min="11130" max="11130" customWidth="1" width="8"/>
    <col min="11131" max="11131" customWidth="1" width="8"/>
    <col min="11132" max="11132" customWidth="1" width="8"/>
    <col min="11133" max="11133" customWidth="1" width="8"/>
    <col min="11134" max="11134" customWidth="1" width="8"/>
    <col min="11135" max="11135" customWidth="1" width="8"/>
    <col min="11136" max="11136" customWidth="1" width="8"/>
    <col min="11137" max="11137" customWidth="1" width="8"/>
    <col min="11138" max="11138" customWidth="1" width="8"/>
    <col min="11139" max="11139" customWidth="1" width="8"/>
    <col min="11140" max="11140" customWidth="1" width="8"/>
    <col min="11141" max="11141" customWidth="1" width="8"/>
    <col min="11142" max="11142" customWidth="1" width="8"/>
    <col min="11143" max="11143" customWidth="1" width="8"/>
    <col min="11144" max="11144" customWidth="1" width="8"/>
    <col min="11145" max="11145" customWidth="1" width="8"/>
    <col min="11146" max="11146" customWidth="1" width="8"/>
    <col min="11147" max="11147" customWidth="1" width="8"/>
    <col min="11148" max="11148" customWidth="1" width="8"/>
    <col min="11149" max="11149" customWidth="1" width="8"/>
    <col min="11150" max="11150" customWidth="1" width="8"/>
    <col min="11151" max="11151" customWidth="1" width="8"/>
    <col min="11152" max="11152" customWidth="1" width="8"/>
    <col min="11153" max="11153" customWidth="1" width="8"/>
    <col min="11154" max="11154" customWidth="1" width="8"/>
    <col min="11155" max="11155" customWidth="1" width="8"/>
    <col min="11156" max="11156" customWidth="1" width="8"/>
    <col min="11157" max="11157" customWidth="1" width="8"/>
    <col min="11158" max="11158" customWidth="1" width="8"/>
    <col min="11159" max="11159" customWidth="1" width="8"/>
    <col min="11160" max="11160" customWidth="1" width="8"/>
    <col min="11161" max="11161" customWidth="1" width="8"/>
    <col min="11162" max="11162" customWidth="1" width="8"/>
    <col min="11163" max="11163" customWidth="1" width="8"/>
    <col min="11164" max="11164" customWidth="1" width="8"/>
    <col min="11165" max="11165" customWidth="1" width="8"/>
    <col min="11166" max="11166" customWidth="1" width="8"/>
    <col min="11167" max="11167" customWidth="1" width="8"/>
    <col min="11168" max="11168" customWidth="1" width="8"/>
    <col min="11169" max="11169" customWidth="1" width="8"/>
    <col min="11170" max="11170" customWidth="1" width="8"/>
    <col min="11171" max="11171" customWidth="1" width="8"/>
    <col min="11172" max="11172" customWidth="1" width="8"/>
    <col min="11173" max="11173" customWidth="1" width="8"/>
    <col min="11174" max="11174" customWidth="1" width="8"/>
    <col min="11175" max="11175" customWidth="1" width="8"/>
    <col min="11176" max="11176" customWidth="1" width="8"/>
    <col min="11177" max="11177" customWidth="1" width="8"/>
    <col min="11178" max="11178" customWidth="1" width="8"/>
    <col min="11179" max="11179" customWidth="1" width="8"/>
    <col min="11180" max="11180" customWidth="1" width="8"/>
    <col min="11181" max="11181" customWidth="1" width="8"/>
    <col min="11182" max="11182" customWidth="1" width="8"/>
    <col min="11183" max="11183" customWidth="1" width="8"/>
    <col min="11184" max="11184" customWidth="1" width="8"/>
    <col min="11185" max="11185" customWidth="1" width="8"/>
    <col min="11186" max="11186" customWidth="1" width="8"/>
    <col min="11187" max="11187" customWidth="1" width="8"/>
    <col min="11188" max="11188" customWidth="1" width="8"/>
    <col min="11189" max="11189" customWidth="1" width="8"/>
    <col min="11190" max="11190" customWidth="1" width="8"/>
    <col min="11191" max="11191" customWidth="1" width="8"/>
    <col min="11192" max="11192" customWidth="1" width="8"/>
    <col min="11193" max="11193" customWidth="1" width="8"/>
    <col min="11194" max="11194" customWidth="1" width="8"/>
    <col min="11195" max="11195" customWidth="1" width="8"/>
    <col min="11196" max="11196" customWidth="1" width="8"/>
    <col min="11197" max="11197" customWidth="1" width="8"/>
    <col min="11198" max="11198" customWidth="1" width="8"/>
    <col min="11199" max="11199" customWidth="1" width="8"/>
    <col min="11200" max="11200" customWidth="1" width="8"/>
    <col min="11201" max="11201" customWidth="1" width="8"/>
    <col min="11202" max="11202" customWidth="1" width="8"/>
    <col min="11203" max="11203" customWidth="1" width="8"/>
    <col min="11204" max="11204" customWidth="1" width="8"/>
    <col min="11205" max="11205" customWidth="1" width="8"/>
    <col min="11206" max="11206" customWidth="1" width="8"/>
    <col min="11207" max="11207" customWidth="1" width="8"/>
    <col min="11208" max="11208" customWidth="1" width="8"/>
    <col min="11209" max="11209" customWidth="1" width="8"/>
    <col min="11210" max="11210" customWidth="1" width="8"/>
    <col min="11211" max="11211" customWidth="1" width="8"/>
    <col min="11212" max="11212" customWidth="1" width="8"/>
    <col min="11213" max="11213" customWidth="1" width="8"/>
    <col min="11214" max="11214" customWidth="1" width="8"/>
    <col min="11215" max="11215" customWidth="1" width="8"/>
    <col min="11216" max="11216" customWidth="1" width="8"/>
    <col min="11217" max="11217" customWidth="1" width="8"/>
    <col min="11218" max="11218" customWidth="1" width="8"/>
    <col min="11219" max="11219" customWidth="1" width="8"/>
    <col min="11220" max="11220" customWidth="1" width="8"/>
    <col min="11221" max="11221" customWidth="1" width="8"/>
    <col min="11222" max="11222" customWidth="1" width="8"/>
    <col min="11223" max="11223" customWidth="1" width="8"/>
    <col min="11224" max="11224" customWidth="1" width="8"/>
    <col min="11225" max="11225" customWidth="1" width="8"/>
    <col min="11226" max="11226" customWidth="1" width="8"/>
    <col min="11227" max="11227" customWidth="1" width="8"/>
    <col min="11228" max="11228" customWidth="1" width="8"/>
    <col min="11229" max="11229" customWidth="1" width="8"/>
    <col min="11230" max="11230" customWidth="1" width="8"/>
    <col min="11231" max="11231" customWidth="1" width="8"/>
    <col min="11232" max="11232" customWidth="1" width="8"/>
    <col min="11233" max="11233" customWidth="1" width="8"/>
    <col min="11234" max="11234" customWidth="1" width="8"/>
    <col min="11235" max="11235" customWidth="1" width="8"/>
    <col min="11236" max="11236" customWidth="1" width="8"/>
    <col min="11237" max="11237" customWidth="1" width="8"/>
    <col min="11238" max="11238" customWidth="1" width="8"/>
    <col min="11239" max="11239" customWidth="1" width="8"/>
    <col min="11240" max="11240" customWidth="1" width="8"/>
    <col min="11241" max="11241" customWidth="1" width="8"/>
    <col min="11242" max="11242" customWidth="1" width="8"/>
    <col min="11243" max="11243" customWidth="1" width="8"/>
    <col min="11244" max="11244" customWidth="1" width="8"/>
    <col min="11245" max="11245" customWidth="1" width="8"/>
    <col min="11246" max="11246" customWidth="1" width="8"/>
    <col min="11247" max="11247" customWidth="1" width="8"/>
    <col min="11248" max="11248" customWidth="1" width="8"/>
    <col min="11249" max="11249" customWidth="1" width="8"/>
    <col min="11250" max="11250" customWidth="1" width="8"/>
    <col min="11251" max="11251" customWidth="1" width="8"/>
    <col min="11252" max="11252" customWidth="1" width="8"/>
    <col min="11253" max="11253" customWidth="1" width="8"/>
    <col min="11254" max="11254" customWidth="1" width="8"/>
    <col min="11255" max="11255" customWidth="1" width="8"/>
    <col min="11256" max="11256" customWidth="1" width="8"/>
    <col min="11257" max="11257" customWidth="1" width="8"/>
    <col min="11258" max="11258" customWidth="1" width="8"/>
    <col min="11259" max="11259" customWidth="1" width="8"/>
    <col min="11260" max="11260" customWidth="1" width="8"/>
    <col min="11261" max="11261" customWidth="1" width="8"/>
    <col min="11262" max="11262" customWidth="1" width="8"/>
    <col min="11263" max="11263" customWidth="1" width="8"/>
    <col min="11264" max="11264" customWidth="1" width="8"/>
    <col min="11265" max="11265" customWidth="1" width="8"/>
    <col min="11266" max="11266" customWidth="1" width="8"/>
    <col min="11267" max="11267" customWidth="1" width="8"/>
    <col min="11268" max="11268" customWidth="1" width="8"/>
    <col min="11269" max="11269" customWidth="1" width="8"/>
    <col min="11270" max="11270" customWidth="1" width="8"/>
    <col min="11271" max="11271" customWidth="1" width="8"/>
    <col min="11272" max="11272" customWidth="1" width="8"/>
    <col min="11273" max="11273" customWidth="1" width="8"/>
    <col min="11274" max="11274" customWidth="1" width="8"/>
    <col min="11275" max="11275" customWidth="1" width="8"/>
    <col min="11276" max="11276" customWidth="1" width="8"/>
    <col min="11277" max="11277" customWidth="1" width="8"/>
    <col min="11278" max="11278" customWidth="1" width="8"/>
    <col min="11279" max="11279" customWidth="1" width="8"/>
    <col min="11280" max="11280" customWidth="1" width="8"/>
    <col min="11281" max="11281" customWidth="1" width="8"/>
    <col min="11282" max="11282" customWidth="1" width="8"/>
    <col min="11283" max="11283" customWidth="1" width="8"/>
    <col min="11284" max="11284" customWidth="1" width="8"/>
    <col min="11285" max="11285" customWidth="1" width="8"/>
    <col min="11286" max="11286" customWidth="1" width="8"/>
    <col min="11287" max="11287" customWidth="1" width="8"/>
    <col min="11288" max="11288" customWidth="1" width="8"/>
    <col min="11289" max="11289" customWidth="1" width="8"/>
    <col min="11290" max="11290" customWidth="1" width="8"/>
    <col min="11291" max="11291" customWidth="1" width="8"/>
    <col min="11292" max="11292" customWidth="1" width="8"/>
    <col min="11293" max="11293" customWidth="1" width="8"/>
    <col min="11294" max="11294" customWidth="1" width="8"/>
    <col min="11295" max="11295" customWidth="1" width="8"/>
    <col min="11296" max="11296" customWidth="1" width="8"/>
    <col min="11297" max="11297" customWidth="1" width="8"/>
    <col min="11298" max="11298" customWidth="1" width="8"/>
    <col min="11299" max="11299" customWidth="1" width="8"/>
    <col min="11300" max="11300" customWidth="1" width="8"/>
    <col min="11301" max="11301" customWidth="1" width="8"/>
    <col min="11302" max="11302" customWidth="1" width="8"/>
    <col min="11303" max="11303" customWidth="1" width="8"/>
    <col min="11304" max="11304" customWidth="1" width="8"/>
    <col min="11305" max="11305" customWidth="1" width="8"/>
    <col min="11306" max="11306" customWidth="1" width="8"/>
    <col min="11307" max="11307" customWidth="1" width="8"/>
    <col min="11308" max="11308" customWidth="1" width="8"/>
    <col min="11309" max="11309" customWidth="1" width="8"/>
    <col min="11310" max="11310" customWidth="1" width="8"/>
    <col min="11311" max="11311" customWidth="1" width="8"/>
    <col min="11312" max="11312" customWidth="1" width="8"/>
    <col min="11313" max="11313" customWidth="1" width="8"/>
    <col min="11314" max="11314" customWidth="1" width="8"/>
    <col min="11315" max="11315" customWidth="1" width="8"/>
    <col min="11316" max="11316" customWidth="1" width="8"/>
    <col min="11317" max="11317" customWidth="1" width="8"/>
    <col min="11318" max="11318" customWidth="1" width="8"/>
    <col min="11319" max="11319" customWidth="1" width="8"/>
    <col min="11320" max="11320" customWidth="1" width="8"/>
    <col min="11321" max="11321" customWidth="1" width="8"/>
    <col min="11322" max="11322" customWidth="1" width="8"/>
    <col min="11323" max="11323" customWidth="1" width="8"/>
    <col min="11324" max="11324" customWidth="1" width="8"/>
    <col min="11325" max="11325" customWidth="1" width="8"/>
    <col min="11326" max="11326" customWidth="1" width="8"/>
    <col min="11327" max="11327" customWidth="1" width="8"/>
    <col min="11328" max="11328" customWidth="1" width="8"/>
    <col min="11329" max="11329" customWidth="1" width="8"/>
    <col min="11330" max="11330" customWidth="1" width="8"/>
    <col min="11331" max="11331" customWidth="1" width="8"/>
    <col min="11332" max="11332" customWidth="1" width="8"/>
    <col min="11333" max="11333" customWidth="1" width="8"/>
    <col min="11334" max="11334" customWidth="1" width="8"/>
    <col min="11335" max="11335" customWidth="1" width="8"/>
    <col min="11336" max="11336" customWidth="1" width="8"/>
    <col min="11337" max="11337" customWidth="1" width="8"/>
    <col min="11338" max="11338" customWidth="1" width="8"/>
    <col min="11339" max="11339" customWidth="1" width="8"/>
    <col min="11340" max="11340" customWidth="1" width="8"/>
    <col min="11341" max="11341" customWidth="1" width="8"/>
    <col min="11342" max="11342" customWidth="1" width="8"/>
    <col min="11343" max="11343" customWidth="1" width="8"/>
    <col min="11344" max="11344" customWidth="1" width="8"/>
    <col min="11345" max="11345" customWidth="1" width="8"/>
    <col min="11346" max="11346" customWidth="1" width="8"/>
    <col min="11347" max="11347" customWidth="1" width="8"/>
    <col min="11348" max="11348" customWidth="1" width="8"/>
    <col min="11349" max="11349" customWidth="1" width="8"/>
    <col min="11350" max="11350" customWidth="1" width="8"/>
    <col min="11351" max="11351" customWidth="1" width="8"/>
    <col min="11352" max="11352" customWidth="1" width="8"/>
    <col min="11353" max="11353" customWidth="1" width="8"/>
    <col min="11354" max="11354" customWidth="1" width="8"/>
    <col min="11355" max="11355" customWidth="1" width="8"/>
    <col min="11356" max="11356" customWidth="1" width="8"/>
    <col min="11357" max="11357" customWidth="1" width="8"/>
    <col min="11358" max="11358" customWidth="1" width="8"/>
    <col min="11359" max="11359" customWidth="1" width="8"/>
    <col min="11360" max="11360" customWidth="1" width="8"/>
    <col min="11361" max="11361" customWidth="1" width="8"/>
    <col min="11362" max="11362" customWidth="1" width="8"/>
    <col min="11363" max="11363" customWidth="1" width="8"/>
    <col min="11364" max="11364" customWidth="1" width="8"/>
    <col min="11365" max="11365" customWidth="1" width="8"/>
    <col min="11366" max="11366" customWidth="1" width="8"/>
    <col min="11367" max="11367" customWidth="1" width="8"/>
    <col min="11368" max="11368" customWidth="1" width="8"/>
    <col min="11369" max="11369" customWidth="1" width="8"/>
    <col min="11370" max="11370" customWidth="1" width="8"/>
    <col min="11371" max="11371" customWidth="1" width="8"/>
    <col min="11372" max="11372" customWidth="1" width="8"/>
    <col min="11373" max="11373" customWidth="1" width="8"/>
    <col min="11374" max="11374" customWidth="1" width="8"/>
    <col min="11375" max="11375" customWidth="1" width="8"/>
    <col min="11376" max="11376" customWidth="1" width="8"/>
    <col min="11377" max="11377" customWidth="1" width="8"/>
    <col min="11378" max="11378" customWidth="1" width="8"/>
    <col min="11379" max="11379" customWidth="1" width="8"/>
    <col min="11380" max="11380" customWidth="1" width="8"/>
    <col min="11381" max="11381" customWidth="1" width="8"/>
    <col min="11382" max="11382" customWidth="1" width="8"/>
    <col min="11383" max="11383" customWidth="1" width="8"/>
    <col min="11384" max="11384" customWidth="1" width="8"/>
    <col min="11385" max="11385" customWidth="1" width="8"/>
    <col min="11386" max="11386" customWidth="1" width="8"/>
    <col min="11387" max="11387" customWidth="1" width="8"/>
    <col min="11388" max="11388" customWidth="1" width="8"/>
    <col min="11389" max="11389" customWidth="1" width="8"/>
    <col min="11390" max="11390" customWidth="1" width="8"/>
    <col min="11391" max="11391" customWidth="1" width="8"/>
    <col min="11392" max="11392" customWidth="1" width="8"/>
    <col min="11393" max="11393" customWidth="1" width="8"/>
    <col min="11394" max="11394" customWidth="1" width="8"/>
    <col min="11395" max="11395" customWidth="1" width="8"/>
    <col min="11396" max="11396" customWidth="1" width="8"/>
    <col min="11397" max="11397" customWidth="1" width="8"/>
    <col min="11398" max="11398" customWidth="1" width="8"/>
    <col min="11399" max="11399" customWidth="1" width="8"/>
    <col min="11400" max="11400" customWidth="1" width="8"/>
    <col min="11401" max="11401" customWidth="1" width="8"/>
    <col min="11402" max="11402" customWidth="1" width="8"/>
    <col min="11403" max="11403" customWidth="1" width="8"/>
    <col min="11404" max="11404" customWidth="1" width="8"/>
    <col min="11405" max="11405" customWidth="1" width="8"/>
    <col min="11406" max="11406" customWidth="1" width="8"/>
    <col min="11407" max="11407" customWidth="1" width="8"/>
    <col min="11408" max="11408" customWidth="1" width="8"/>
    <col min="11409" max="11409" customWidth="1" width="8"/>
    <col min="11410" max="11410" customWidth="1" width="8"/>
    <col min="11411" max="11411" customWidth="1" width="8"/>
    <col min="11412" max="11412" customWidth="1" width="8"/>
    <col min="11413" max="11413" customWidth="1" width="8"/>
    <col min="11414" max="11414" customWidth="1" width="8"/>
    <col min="11415" max="11415" customWidth="1" width="8"/>
    <col min="11416" max="11416" customWidth="1" width="8"/>
    <col min="11417" max="11417" customWidth="1" width="8"/>
    <col min="11418" max="11418" customWidth="1" width="8"/>
    <col min="11419" max="11419" customWidth="1" width="8"/>
    <col min="11420" max="11420" customWidth="1" width="8"/>
    <col min="11421" max="11421" customWidth="1" width="8"/>
    <col min="11422" max="11422" customWidth="1" width="8"/>
    <col min="11423" max="11423" customWidth="1" width="8"/>
    <col min="11424" max="11424" customWidth="1" width="8"/>
    <col min="11425" max="11425" customWidth="1" width="8"/>
    <col min="11426" max="11426" customWidth="1" width="8"/>
    <col min="11427" max="11427" customWidth="1" width="8"/>
    <col min="11428" max="11428" customWidth="1" width="8"/>
    <col min="11429" max="11429" customWidth="1" width="8"/>
    <col min="11430" max="11430" customWidth="1" width="8"/>
    <col min="11431" max="11431" customWidth="1" width="8"/>
    <col min="11432" max="11432" customWidth="1" width="8"/>
    <col min="11433" max="11433" customWidth="1" width="8"/>
    <col min="11434" max="11434" customWidth="1" width="8"/>
    <col min="11435" max="11435" customWidth="1" width="8"/>
    <col min="11436" max="11436" customWidth="1" width="8"/>
    <col min="11437" max="11437" customWidth="1" width="8"/>
    <col min="11438" max="11438" customWidth="1" width="8"/>
    <col min="11439" max="11439" customWidth="1" width="8"/>
    <col min="11440" max="11440" customWidth="1" width="8"/>
    <col min="11441" max="11441" customWidth="1" width="8"/>
    <col min="11442" max="11442" customWidth="1" width="8"/>
    <col min="11443" max="11443" customWidth="1" width="8"/>
    <col min="11444" max="11444" customWidth="1" width="8"/>
    <col min="11445" max="11445" customWidth="1" width="8"/>
    <col min="11446" max="11446" customWidth="1" width="8"/>
    <col min="11447" max="11447" customWidth="1" width="8"/>
    <col min="11448" max="11448" customWidth="1" width="8"/>
    <col min="11449" max="11449" customWidth="1" width="8"/>
    <col min="11450" max="11450" customWidth="1" width="8"/>
    <col min="11451" max="11451" customWidth="1" width="8"/>
    <col min="11452" max="11452" customWidth="1" width="8"/>
    <col min="11453" max="11453" customWidth="1" width="8"/>
    <col min="11454" max="11454" customWidth="1" width="8"/>
    <col min="11455" max="11455" customWidth="1" width="8"/>
    <col min="11456" max="11456" customWidth="1" width="8"/>
    <col min="11457" max="11457" customWidth="1" width="8"/>
    <col min="11458" max="11458" customWidth="1" width="8"/>
    <col min="11459" max="11459" customWidth="1" width="8"/>
    <col min="11460" max="11460" customWidth="1" width="8"/>
    <col min="11461" max="11461" customWidth="1" width="8"/>
    <col min="11462" max="11462" customWidth="1" width="8"/>
    <col min="11463" max="11463" customWidth="1" width="8"/>
    <col min="11464" max="11464" customWidth="1" width="8"/>
    <col min="11465" max="11465" customWidth="1" width="8"/>
    <col min="11466" max="11466" customWidth="1" width="8"/>
    <col min="11467" max="11467" customWidth="1" width="8"/>
    <col min="11468" max="11468" customWidth="1" width="8"/>
    <col min="11469" max="11469" customWidth="1" width="8"/>
    <col min="11470" max="11470" customWidth="1" width="8"/>
    <col min="11471" max="11471" customWidth="1" width="8"/>
    <col min="11472" max="11472" customWidth="1" width="8"/>
    <col min="11473" max="11473" customWidth="1" width="8"/>
    <col min="11474" max="11474" customWidth="1" width="8"/>
    <col min="11475" max="11475" customWidth="1" width="8"/>
    <col min="11476" max="11476" customWidth="1" width="8"/>
    <col min="11477" max="11477" customWidth="1" width="8"/>
    <col min="11478" max="11478" customWidth="1" width="8"/>
    <col min="11479" max="11479" customWidth="1" width="8"/>
    <col min="11480" max="11480" customWidth="1" width="8"/>
    <col min="11481" max="11481" customWidth="1" width="8"/>
    <col min="11482" max="11482" customWidth="1" width="8"/>
    <col min="11483" max="11483" customWidth="1" width="8"/>
    <col min="11484" max="11484" customWidth="1" width="8"/>
    <col min="11485" max="11485" customWidth="1" width="8"/>
    <col min="11486" max="11486" customWidth="1" width="8"/>
    <col min="11487" max="11487" customWidth="1" width="8"/>
    <col min="11488" max="11488" customWidth="1" width="8"/>
    <col min="11489" max="11489" customWidth="1" width="8"/>
    <col min="11490" max="11490" customWidth="1" width="8"/>
    <col min="11491" max="11491" customWidth="1" width="8"/>
    <col min="11492" max="11492" customWidth="1" width="8"/>
    <col min="11493" max="11493" customWidth="1" width="8"/>
    <col min="11494" max="11494" customWidth="1" width="8"/>
    <col min="11495" max="11495" customWidth="1" width="8"/>
    <col min="11496" max="11496" customWidth="1" width="8"/>
    <col min="11497" max="11497" customWidth="1" width="8"/>
    <col min="11498" max="11498" customWidth="1" width="8"/>
    <col min="11499" max="11499" customWidth="1" width="8"/>
    <col min="11500" max="11500" customWidth="1" width="8"/>
    <col min="11501" max="11501" customWidth="1" width="8"/>
    <col min="11502" max="11502" customWidth="1" width="8"/>
    <col min="11503" max="11503" customWidth="1" width="8"/>
    <col min="11504" max="11504" customWidth="1" width="8"/>
    <col min="11505" max="11505" customWidth="1" width="8"/>
    <col min="11506" max="11506" customWidth="1" width="8"/>
    <col min="11507" max="11507" customWidth="1" width="8"/>
    <col min="11508" max="11508" customWidth="1" width="8"/>
    <col min="11509" max="11509" customWidth="1" width="8"/>
    <col min="11510" max="11510" customWidth="1" width="8"/>
    <col min="11511" max="11511" customWidth="1" width="8"/>
    <col min="11512" max="11512" customWidth="1" width="8"/>
    <col min="11513" max="11513" customWidth="1" width="8"/>
    <col min="11514" max="11514" customWidth="1" width="8"/>
    <col min="11515" max="11515" customWidth="1" width="8"/>
    <col min="11516" max="11516" customWidth="1" width="8"/>
    <col min="11517" max="11517" customWidth="1" width="8"/>
    <col min="11518" max="11518" customWidth="1" width="8"/>
    <col min="11519" max="11519" customWidth="1" width="8"/>
    <col min="11520" max="11520" customWidth="1" width="8"/>
    <col min="11521" max="11521" customWidth="1" width="8"/>
    <col min="11522" max="11522" customWidth="1" width="8"/>
    <col min="11523" max="11523" customWidth="1" width="8"/>
    <col min="11524" max="11524" customWidth="1" width="8"/>
    <col min="11525" max="11525" customWidth="1" width="8"/>
    <col min="11526" max="11526" customWidth="1" width="8"/>
    <col min="11527" max="11527" customWidth="1" width="8"/>
    <col min="11528" max="11528" customWidth="1" width="8"/>
    <col min="11529" max="11529" customWidth="1" width="8"/>
    <col min="11530" max="11530" customWidth="1" width="8"/>
    <col min="11531" max="11531" customWidth="1" width="8"/>
    <col min="11532" max="11532" customWidth="1" width="8"/>
    <col min="11533" max="11533" customWidth="1" width="8"/>
    <col min="11534" max="11534" customWidth="1" width="8"/>
    <col min="11535" max="11535" customWidth="1" width="8"/>
    <col min="11536" max="11536" customWidth="1" width="8"/>
    <col min="11537" max="11537" customWidth="1" width="8"/>
    <col min="11538" max="11538" customWidth="1" width="8"/>
    <col min="11539" max="11539" customWidth="1" width="8"/>
    <col min="11540" max="11540" customWidth="1" width="8"/>
    <col min="11541" max="11541" customWidth="1" width="8"/>
    <col min="11542" max="11542" customWidth="1" width="8"/>
    <col min="11543" max="11543" customWidth="1" width="8"/>
    <col min="11544" max="11544" customWidth="1" width="8"/>
    <col min="11545" max="11545" customWidth="1" width="8"/>
    <col min="11546" max="11546" customWidth="1" width="8"/>
    <col min="11547" max="11547" customWidth="1" width="8"/>
    <col min="11548" max="11548" customWidth="1" width="8"/>
    <col min="11549" max="11549" customWidth="1" width="8"/>
    <col min="11550" max="11550" customWidth="1" width="8"/>
    <col min="11551" max="11551" customWidth="1" width="8"/>
    <col min="11552" max="11552" customWidth="1" width="8"/>
    <col min="11553" max="11553" customWidth="1" width="8"/>
    <col min="11554" max="11554" customWidth="1" width="8"/>
    <col min="11555" max="11555" customWidth="1" width="8"/>
    <col min="11556" max="11556" customWidth="1" width="8"/>
    <col min="11557" max="11557" customWidth="1" width="8"/>
    <col min="11558" max="11558" customWidth="1" width="8"/>
    <col min="11559" max="11559" customWidth="1" width="8"/>
    <col min="11560" max="11560" customWidth="1" width="8"/>
    <col min="11561" max="11561" customWidth="1" width="8"/>
    <col min="11562" max="11562" customWidth="1" width="8"/>
    <col min="11563" max="11563" customWidth="1" width="8"/>
    <col min="11564" max="11564" customWidth="1" width="8"/>
    <col min="11565" max="11565" customWidth="1" width="8"/>
    <col min="11566" max="11566" customWidth="1" width="8"/>
    <col min="11567" max="11567" customWidth="1" width="8"/>
    <col min="11568" max="11568" customWidth="1" width="8"/>
    <col min="11569" max="11569" customWidth="1" width="8"/>
    <col min="11570" max="11570" customWidth="1" width="8"/>
    <col min="11571" max="11571" customWidth="1" width="8"/>
    <col min="11572" max="11572" customWidth="1" width="8"/>
    <col min="11573" max="11573" customWidth="1" width="8"/>
    <col min="11574" max="11574" customWidth="1" width="8"/>
    <col min="11575" max="11575" customWidth="1" width="8"/>
    <col min="11576" max="11576" customWidth="1" width="8"/>
    <col min="11577" max="11577" customWidth="1" width="8"/>
    <col min="11578" max="11578" customWidth="1" width="8"/>
    <col min="11579" max="11579" customWidth="1" width="8"/>
    <col min="11580" max="11580" customWidth="1" width="8"/>
    <col min="11581" max="11581" customWidth="1" width="8"/>
    <col min="11582" max="11582" customWidth="1" width="8"/>
    <col min="11583" max="11583" customWidth="1" width="8"/>
    <col min="11584" max="11584" customWidth="1" width="8"/>
    <col min="11585" max="11585" customWidth="1" width="8"/>
    <col min="11586" max="11586" customWidth="1" width="8"/>
    <col min="11587" max="11587" customWidth="1" width="8"/>
    <col min="11588" max="11588" customWidth="1" width="8"/>
    <col min="11589" max="11589" customWidth="1" width="8"/>
    <col min="11590" max="11590" customWidth="1" width="8"/>
    <col min="11591" max="11591" customWidth="1" width="8"/>
    <col min="11592" max="11592" customWidth="1" width="8"/>
    <col min="11593" max="11593" customWidth="1" width="8"/>
    <col min="11594" max="11594" customWidth="1" width="8"/>
    <col min="11595" max="11595" customWidth="1" width="8"/>
    <col min="11596" max="11596" customWidth="1" width="8"/>
    <col min="11597" max="11597" customWidth="1" width="8"/>
    <col min="11598" max="11598" customWidth="1" width="8"/>
    <col min="11599" max="11599" customWidth="1" width="8"/>
    <col min="11600" max="11600" customWidth="1" width="8"/>
    <col min="11601" max="11601" customWidth="1" width="8"/>
    <col min="11602" max="11602" customWidth="1" width="8"/>
    <col min="11603" max="11603" customWidth="1" width="8"/>
    <col min="11604" max="11604" customWidth="1" width="8"/>
    <col min="11605" max="11605" customWidth="1" width="8"/>
    <col min="11606" max="11606" customWidth="1" width="8"/>
    <col min="11607" max="11607" customWidth="1" width="8"/>
    <col min="11608" max="11608" customWidth="1" width="8"/>
    <col min="11609" max="11609" customWidth="1" width="8"/>
    <col min="11610" max="11610" customWidth="1" width="8"/>
    <col min="11611" max="11611" customWidth="1" width="8"/>
    <col min="11612" max="11612" customWidth="1" width="8"/>
    <col min="11613" max="11613" customWidth="1" width="8"/>
    <col min="11614" max="11614" customWidth="1" width="8"/>
    <col min="11615" max="11615" customWidth="1" width="8"/>
    <col min="11616" max="11616" customWidth="1" width="8"/>
    <col min="11617" max="11617" customWidth="1" width="8"/>
    <col min="11618" max="11618" customWidth="1" width="8"/>
    <col min="11619" max="11619" customWidth="1" width="8"/>
    <col min="11620" max="11620" customWidth="1" width="8"/>
    <col min="11621" max="11621" customWidth="1" width="8"/>
    <col min="11622" max="11622" customWidth="1" width="8"/>
    <col min="11623" max="11623" customWidth="1" width="8"/>
    <col min="11624" max="11624" customWidth="1" width="8"/>
    <col min="11625" max="11625" customWidth="1" width="8"/>
    <col min="11626" max="11626" customWidth="1" width="8"/>
    <col min="11627" max="11627" customWidth="1" width="8"/>
    <col min="11628" max="11628" customWidth="1" width="8"/>
    <col min="11629" max="11629" customWidth="1" width="8"/>
    <col min="11630" max="11630" customWidth="1" width="8"/>
    <col min="11631" max="11631" customWidth="1" width="8"/>
    <col min="11632" max="11632" customWidth="1" width="8"/>
    <col min="11633" max="11633" customWidth="1" width="8"/>
    <col min="11634" max="11634" customWidth="1" width="8"/>
    <col min="11635" max="11635" customWidth="1" width="8"/>
    <col min="11636" max="11636" customWidth="1" width="8"/>
    <col min="11637" max="11637" customWidth="1" width="8"/>
    <col min="11638" max="11638" customWidth="1" width="8"/>
    <col min="11639" max="11639" customWidth="1" width="8"/>
    <col min="11640" max="11640" customWidth="1" width="8"/>
    <col min="11641" max="11641" customWidth="1" width="8"/>
    <col min="11642" max="11642" customWidth="1" width="8"/>
    <col min="11643" max="11643" customWidth="1" width="8"/>
    <col min="11644" max="11644" customWidth="1" width="8"/>
    <col min="11645" max="11645" customWidth="1" width="8"/>
    <col min="11646" max="11646" customWidth="1" width="8"/>
    <col min="11647" max="11647" customWidth="1" width="8"/>
    <col min="11648" max="11648" customWidth="1" width="8"/>
    <col min="11649" max="11649" customWidth="1" width="8"/>
    <col min="11650" max="11650" customWidth="1" width="8"/>
    <col min="11651" max="11651" customWidth="1" width="8"/>
    <col min="11652" max="11652" customWidth="1" width="8"/>
    <col min="11653" max="11653" customWidth="1" width="8"/>
    <col min="11654" max="11654" customWidth="1" width="8"/>
    <col min="11655" max="11655" customWidth="1" width="8"/>
    <col min="11656" max="11656" customWidth="1" width="8"/>
    <col min="11657" max="11657" customWidth="1" width="8"/>
    <col min="11658" max="11658" customWidth="1" width="8"/>
    <col min="11659" max="11659" customWidth="1" width="8"/>
    <col min="11660" max="11660" customWidth="1" width="8"/>
    <col min="11661" max="11661" customWidth="1" width="8"/>
    <col min="11662" max="11662" customWidth="1" width="8"/>
    <col min="11663" max="11663" customWidth="1" width="8"/>
    <col min="11664" max="11664" customWidth="1" width="8"/>
    <col min="11665" max="11665" customWidth="1" width="8"/>
    <col min="11666" max="11666" customWidth="1" width="8"/>
    <col min="11667" max="11667" customWidth="1" width="8"/>
    <col min="11668" max="11668" customWidth="1" width="8"/>
    <col min="11669" max="11669" customWidth="1" width="8"/>
    <col min="11670" max="11670" customWidth="1" width="8"/>
    <col min="11671" max="11671" customWidth="1" width="8"/>
    <col min="11672" max="11672" customWidth="1" width="8"/>
    <col min="11673" max="11673" customWidth="1" width="8"/>
    <col min="11674" max="11674" customWidth="1" width="8"/>
    <col min="11675" max="11675" customWidth="1" width="8"/>
    <col min="11676" max="11676" customWidth="1" width="8"/>
    <col min="11677" max="11677" customWidth="1" width="8"/>
    <col min="11678" max="11678" customWidth="1" width="8"/>
    <col min="11679" max="11679" customWidth="1" width="8"/>
    <col min="11680" max="11680" customWidth="1" width="8"/>
    <col min="11681" max="11681" customWidth="1" width="8"/>
    <col min="11682" max="11682" customWidth="1" width="8"/>
    <col min="11683" max="11683" customWidth="1" width="8"/>
    <col min="11684" max="11684" customWidth="1" width="8"/>
    <col min="11685" max="11685" customWidth="1" width="8"/>
    <col min="11686" max="11686" customWidth="1" width="8"/>
    <col min="11687" max="11687" customWidth="1" width="8"/>
    <col min="11688" max="11688" customWidth="1" width="8"/>
    <col min="11689" max="11689" customWidth="1" width="8"/>
    <col min="11690" max="11690" customWidth="1" width="8"/>
    <col min="11691" max="11691" customWidth="1" width="8"/>
    <col min="11692" max="11692" customWidth="1" width="8"/>
    <col min="11693" max="11693" customWidth="1" width="8"/>
    <col min="11694" max="11694" customWidth="1" width="8"/>
    <col min="11695" max="11695" customWidth="1" width="8"/>
    <col min="11696" max="11696" customWidth="1" width="8"/>
    <col min="11697" max="11697" customWidth="1" width="8"/>
    <col min="11698" max="11698" customWidth="1" width="8"/>
    <col min="11699" max="11699" customWidth="1" width="8"/>
    <col min="11700" max="11700" customWidth="1" width="8"/>
    <col min="11701" max="11701" customWidth="1" width="8"/>
    <col min="11702" max="11702" customWidth="1" width="8"/>
    <col min="11703" max="11703" customWidth="1" width="8"/>
    <col min="11704" max="11704" customWidth="1" width="8"/>
    <col min="11705" max="11705" customWidth="1" width="8"/>
    <col min="11706" max="11706" customWidth="1" width="8"/>
    <col min="11707" max="11707" customWidth="1" width="8"/>
    <col min="11708" max="11708" customWidth="1" width="8"/>
    <col min="11709" max="11709" customWidth="1" width="8"/>
    <col min="11710" max="11710" customWidth="1" width="8"/>
    <col min="11711" max="11711" customWidth="1" width="8"/>
    <col min="11712" max="11712" customWidth="1" width="8"/>
    <col min="11713" max="11713" customWidth="1" width="8"/>
    <col min="11714" max="11714" customWidth="1" width="8"/>
    <col min="11715" max="11715" customWidth="1" width="8"/>
    <col min="11716" max="11716" customWidth="1" width="8"/>
    <col min="11717" max="11717" customWidth="1" width="8"/>
    <col min="11718" max="11718" customWidth="1" width="8"/>
    <col min="11719" max="11719" customWidth="1" width="8"/>
    <col min="11720" max="11720" customWidth="1" width="8"/>
    <col min="11721" max="11721" customWidth="1" width="8"/>
    <col min="11722" max="11722" customWidth="1" width="8"/>
    <col min="11723" max="11723" customWidth="1" width="8"/>
    <col min="11724" max="11724" customWidth="1" width="8"/>
    <col min="11725" max="11725" customWidth="1" width="8"/>
    <col min="11726" max="11726" customWidth="1" width="8"/>
    <col min="11727" max="11727" customWidth="1" width="8"/>
    <col min="11728" max="11728" customWidth="1" width="8"/>
    <col min="11729" max="11729" customWidth="1" width="8"/>
    <col min="11730" max="11730" customWidth="1" width="8"/>
    <col min="11731" max="11731" customWidth="1" width="8"/>
    <col min="11732" max="11732" customWidth="1" width="8"/>
    <col min="11733" max="11733" customWidth="1" width="8"/>
    <col min="11734" max="11734" customWidth="1" width="8"/>
    <col min="11735" max="11735" customWidth="1" width="8"/>
    <col min="11736" max="11736" customWidth="1" width="8"/>
    <col min="11737" max="11737" customWidth="1" width="8"/>
    <col min="11738" max="11738" customWidth="1" width="8"/>
    <col min="11739" max="11739" customWidth="1" width="8"/>
    <col min="11740" max="11740" customWidth="1" width="8"/>
    <col min="11741" max="11741" customWidth="1" width="8"/>
    <col min="11742" max="11742" customWidth="1" width="8"/>
    <col min="11743" max="11743" customWidth="1" width="8"/>
    <col min="11744" max="11744" customWidth="1" width="8"/>
    <col min="11745" max="11745" customWidth="1" width="8"/>
    <col min="11746" max="11746" customWidth="1" width="8"/>
    <col min="11747" max="11747" customWidth="1" width="8"/>
    <col min="11748" max="11748" customWidth="1" width="8"/>
    <col min="11749" max="11749" customWidth="1" width="8"/>
    <col min="11750" max="11750" customWidth="1" width="8"/>
    <col min="11751" max="11751" customWidth="1" width="8"/>
    <col min="11752" max="11752" customWidth="1" width="8"/>
    <col min="11753" max="11753" customWidth="1" width="8"/>
    <col min="11754" max="11754" customWidth="1" width="8"/>
    <col min="11755" max="11755" customWidth="1" width="8"/>
    <col min="11756" max="11756" customWidth="1" width="8"/>
    <col min="11757" max="11757" customWidth="1" width="8"/>
    <col min="11758" max="11758" customWidth="1" width="8"/>
    <col min="11759" max="11759" customWidth="1" width="8"/>
    <col min="11760" max="11760" customWidth="1" width="8"/>
    <col min="11761" max="11761" customWidth="1" width="8"/>
    <col min="11762" max="11762" customWidth="1" width="8"/>
    <col min="11763" max="11763" customWidth="1" width="8"/>
    <col min="11764" max="11764" customWidth="1" width="8"/>
    <col min="11765" max="11765" customWidth="1" width="8"/>
    <col min="11766" max="11766" customWidth="1" width="8"/>
    <col min="11767" max="11767" customWidth="1" width="8"/>
    <col min="11768" max="11768" customWidth="1" width="8"/>
    <col min="11769" max="11769" customWidth="1" width="8"/>
    <col min="11770" max="11770" customWidth="1" width="8"/>
    <col min="11771" max="11771" customWidth="1" width="8"/>
    <col min="11772" max="11772" customWidth="1" width="8"/>
    <col min="11773" max="11773" customWidth="1" width="8"/>
    <col min="11774" max="11774" customWidth="1" width="8"/>
    <col min="11775" max="11775" customWidth="1" width="8"/>
    <col min="11776" max="11776" customWidth="1" width="8"/>
    <col min="11777" max="11777" customWidth="1" width="8"/>
    <col min="11778" max="11778" customWidth="1" width="8"/>
    <col min="11779" max="11779" customWidth="1" width="8"/>
    <col min="11780" max="11780" customWidth="1" width="8"/>
    <col min="11781" max="11781" customWidth="1" width="8"/>
    <col min="11782" max="11782" customWidth="1" width="8"/>
    <col min="11783" max="11783" customWidth="1" width="8"/>
    <col min="11784" max="11784" customWidth="1" width="8"/>
    <col min="11785" max="11785" customWidth="1" width="8"/>
    <col min="11786" max="11786" customWidth="1" width="8"/>
    <col min="11787" max="11787" customWidth="1" width="8"/>
    <col min="11788" max="11788" customWidth="1" width="8"/>
    <col min="11789" max="11789" customWidth="1" width="8"/>
    <col min="11790" max="11790" customWidth="1" width="8"/>
    <col min="11791" max="11791" customWidth="1" width="8"/>
    <col min="11792" max="11792" customWidth="1" width="8"/>
    <col min="11793" max="11793" customWidth="1" width="8"/>
    <col min="11794" max="11794" customWidth="1" width="8"/>
    <col min="11795" max="11795" customWidth="1" width="8"/>
    <col min="11796" max="11796" customWidth="1" width="8"/>
    <col min="11797" max="11797" customWidth="1" width="8"/>
    <col min="11798" max="11798" customWidth="1" width="8"/>
    <col min="11799" max="11799" customWidth="1" width="8"/>
    <col min="11800" max="11800" customWidth="1" width="8"/>
    <col min="11801" max="11801" customWidth="1" width="8"/>
    <col min="11802" max="11802" customWidth="1" width="8"/>
    <col min="11803" max="11803" customWidth="1" width="8"/>
    <col min="11804" max="11804" customWidth="1" width="8"/>
    <col min="11805" max="11805" customWidth="1" width="8"/>
    <col min="11806" max="11806" customWidth="1" width="8"/>
    <col min="11807" max="11807" customWidth="1" width="8"/>
    <col min="11808" max="11808" customWidth="1" width="8"/>
    <col min="11809" max="11809" customWidth="1" width="8"/>
    <col min="11810" max="11810" customWidth="1" width="8"/>
    <col min="11811" max="11811" customWidth="1" width="8"/>
    <col min="11812" max="11812" customWidth="1" width="8"/>
    <col min="11813" max="11813" customWidth="1" width="8"/>
    <col min="11814" max="11814" customWidth="1" width="8"/>
    <col min="11815" max="11815" customWidth="1" width="8"/>
    <col min="11816" max="11816" customWidth="1" width="8"/>
    <col min="11817" max="11817" customWidth="1" width="8"/>
    <col min="11818" max="11818" customWidth="1" width="8"/>
    <col min="11819" max="11819" customWidth="1" width="8"/>
    <col min="11820" max="11820" customWidth="1" width="8"/>
    <col min="11821" max="11821" customWidth="1" width="8"/>
    <col min="11822" max="11822" customWidth="1" width="8"/>
    <col min="11823" max="11823" customWidth="1" width="8"/>
    <col min="11824" max="11824" customWidth="1" width="8"/>
    <col min="11825" max="11825" customWidth="1" width="8"/>
    <col min="11826" max="11826" customWidth="1" width="8"/>
    <col min="11827" max="11827" customWidth="1" width="8"/>
    <col min="11828" max="11828" customWidth="1" width="8"/>
    <col min="11829" max="11829" customWidth="1" width="8"/>
    <col min="11830" max="11830" customWidth="1" width="8"/>
    <col min="11831" max="11831" customWidth="1" width="8"/>
    <col min="11832" max="11832" customWidth="1" width="8"/>
    <col min="11833" max="11833" customWidth="1" width="8"/>
    <col min="11834" max="11834" customWidth="1" width="8"/>
    <col min="11835" max="11835" customWidth="1" width="8"/>
    <col min="11836" max="11836" customWidth="1" width="8"/>
    <col min="11837" max="11837" customWidth="1" width="8"/>
    <col min="11838" max="11838" customWidth="1" width="8"/>
    <col min="11839" max="11839" customWidth="1" width="8"/>
    <col min="11840" max="11840" customWidth="1" width="8"/>
    <col min="11841" max="11841" customWidth="1" width="8"/>
    <col min="11842" max="11842" customWidth="1" width="8"/>
    <col min="11843" max="11843" customWidth="1" width="8"/>
    <col min="11844" max="11844" customWidth="1" width="8"/>
    <col min="11845" max="11845" customWidth="1" width="8"/>
    <col min="11846" max="11846" customWidth="1" width="8"/>
    <col min="11847" max="11847" customWidth="1" width="8"/>
    <col min="11848" max="11848" customWidth="1" width="8"/>
    <col min="11849" max="11849" customWidth="1" width="8"/>
    <col min="11850" max="11850" customWidth="1" width="8"/>
    <col min="11851" max="11851" customWidth="1" width="8"/>
    <col min="11852" max="11852" customWidth="1" width="8"/>
    <col min="11853" max="11853" customWidth="1" width="8"/>
    <col min="11854" max="11854" customWidth="1" width="8"/>
    <col min="11855" max="11855" customWidth="1" width="8"/>
    <col min="11856" max="11856" customWidth="1" width="8"/>
    <col min="11857" max="11857" customWidth="1" width="8"/>
    <col min="11858" max="11858" customWidth="1" width="8"/>
    <col min="11859" max="11859" customWidth="1" width="8"/>
    <col min="11860" max="11860" customWidth="1" width="8"/>
    <col min="11861" max="11861" customWidth="1" width="8"/>
    <col min="11862" max="11862" customWidth="1" width="8"/>
    <col min="11863" max="11863" customWidth="1" width="8"/>
    <col min="11864" max="11864" customWidth="1" width="8"/>
    <col min="11865" max="11865" customWidth="1" width="8"/>
    <col min="11866" max="11866" customWidth="1" width="8"/>
    <col min="11867" max="11867" customWidth="1" width="8"/>
    <col min="11868" max="11868" customWidth="1" width="8"/>
    <col min="11869" max="11869" customWidth="1" width="8"/>
    <col min="11870" max="11870" customWidth="1" width="8"/>
    <col min="11871" max="11871" customWidth="1" width="8"/>
    <col min="11872" max="11872" customWidth="1" width="8"/>
    <col min="11873" max="11873" customWidth="1" width="8"/>
    <col min="11874" max="11874" customWidth="1" width="8"/>
    <col min="11875" max="11875" customWidth="1" width="8"/>
    <col min="11876" max="11876" customWidth="1" width="8"/>
    <col min="11877" max="11877" customWidth="1" width="8"/>
    <col min="11878" max="11878" customWidth="1" width="8"/>
    <col min="11879" max="11879" customWidth="1" width="8"/>
    <col min="11880" max="11880" customWidth="1" width="8"/>
    <col min="11881" max="11881" customWidth="1" width="8"/>
    <col min="11882" max="11882" customWidth="1" width="8"/>
    <col min="11883" max="11883" customWidth="1" width="8"/>
    <col min="11884" max="11884" customWidth="1" width="8"/>
    <col min="11885" max="11885" customWidth="1" width="8"/>
    <col min="11886" max="11886" customWidth="1" width="8"/>
    <col min="11887" max="11887" customWidth="1" width="8"/>
    <col min="11888" max="11888" customWidth="1" width="8"/>
    <col min="11889" max="11889" customWidth="1" width="8"/>
    <col min="11890" max="11890" customWidth="1" width="8"/>
    <col min="11891" max="11891" customWidth="1" width="8"/>
    <col min="11892" max="11892" customWidth="1" width="8"/>
    <col min="11893" max="11893" customWidth="1" width="8"/>
    <col min="11894" max="11894" customWidth="1" width="8"/>
    <col min="11895" max="11895" customWidth="1" width="8"/>
    <col min="11896" max="11896" customWidth="1" width="8"/>
    <col min="11897" max="11897" customWidth="1" width="8"/>
    <col min="11898" max="11898" customWidth="1" width="8"/>
    <col min="11899" max="11899" customWidth="1" width="8"/>
    <col min="11900" max="11900" customWidth="1" width="8"/>
    <col min="11901" max="11901" customWidth="1" width="8"/>
    <col min="11902" max="11902" customWidth="1" width="8"/>
    <col min="11903" max="11903" customWidth="1" width="8"/>
    <col min="11904" max="11904" customWidth="1" width="8"/>
    <col min="11905" max="11905" customWidth="1" width="8"/>
    <col min="11906" max="11906" customWidth="1" width="8"/>
    <col min="11907" max="11907" customWidth="1" width="8"/>
    <col min="11908" max="11908" customWidth="1" width="8"/>
    <col min="11909" max="11909" customWidth="1" width="8"/>
    <col min="11910" max="11910" customWidth="1" width="8"/>
    <col min="11911" max="11911" customWidth="1" width="8"/>
    <col min="11912" max="11912" customWidth="1" width="8"/>
    <col min="11913" max="11913" customWidth="1" width="8"/>
    <col min="11914" max="11914" customWidth="1" width="8"/>
    <col min="11915" max="11915" customWidth="1" width="8"/>
    <col min="11916" max="11916" customWidth="1" width="8"/>
    <col min="11917" max="11917" customWidth="1" width="8"/>
    <col min="11918" max="11918" customWidth="1" width="8"/>
    <col min="11919" max="11919" customWidth="1" width="8"/>
    <col min="11920" max="11920" customWidth="1" width="8"/>
    <col min="11921" max="11921" customWidth="1" width="8"/>
    <col min="11922" max="11922" customWidth="1" width="8"/>
    <col min="11923" max="11923" customWidth="1" width="8"/>
    <col min="11924" max="11924" customWidth="1" width="8"/>
    <col min="11925" max="11925" customWidth="1" width="8"/>
    <col min="11926" max="11926" customWidth="1" width="8"/>
    <col min="11927" max="11927" customWidth="1" width="8"/>
    <col min="11928" max="11928" customWidth="1" width="8"/>
    <col min="11929" max="11929" customWidth="1" width="8"/>
    <col min="11930" max="11930" customWidth="1" width="8"/>
    <col min="11931" max="11931" customWidth="1" width="8"/>
    <col min="11932" max="11932" customWidth="1" width="8"/>
    <col min="11933" max="11933" customWidth="1" width="8"/>
    <col min="11934" max="11934" customWidth="1" width="8"/>
    <col min="11935" max="11935" customWidth="1" width="8"/>
    <col min="11936" max="11936" customWidth="1" width="8"/>
    <col min="11937" max="11937" customWidth="1" width="8"/>
    <col min="11938" max="11938" customWidth="1" width="8"/>
    <col min="11939" max="11939" customWidth="1" width="8"/>
    <col min="11940" max="11940" customWidth="1" width="8"/>
    <col min="11941" max="11941" customWidth="1" width="8"/>
    <col min="11942" max="11942" customWidth="1" width="8"/>
    <col min="11943" max="11943" customWidth="1" width="8"/>
    <col min="11944" max="11944" customWidth="1" width="8"/>
    <col min="11945" max="11945" customWidth="1" width="8"/>
    <col min="11946" max="11946" customWidth="1" width="8"/>
    <col min="11947" max="11947" customWidth="1" width="8"/>
    <col min="11948" max="11948" customWidth="1" width="8"/>
    <col min="11949" max="11949" customWidth="1" width="8"/>
    <col min="11950" max="11950" customWidth="1" width="8"/>
    <col min="11951" max="11951" customWidth="1" width="8"/>
    <col min="11952" max="11952" customWidth="1" width="8"/>
    <col min="11953" max="11953" customWidth="1" width="8"/>
    <col min="11954" max="11954" customWidth="1" width="8"/>
    <col min="11955" max="11955" customWidth="1" width="8"/>
    <col min="11956" max="11956" customWidth="1" width="8"/>
    <col min="11957" max="11957" customWidth="1" width="8"/>
    <col min="11958" max="11958" customWidth="1" width="8"/>
    <col min="11959" max="11959" customWidth="1" width="8"/>
    <col min="11960" max="11960" customWidth="1" width="8"/>
    <col min="11961" max="11961" customWidth="1" width="8"/>
    <col min="11962" max="11962" customWidth="1" width="8"/>
    <col min="11963" max="11963" customWidth="1" width="8"/>
    <col min="11964" max="11964" customWidth="1" width="8"/>
    <col min="11965" max="11965" customWidth="1" width="8"/>
    <col min="11966" max="11966" customWidth="1" width="8"/>
    <col min="11967" max="11967" customWidth="1" width="8"/>
    <col min="11968" max="11968" customWidth="1" width="8"/>
    <col min="11969" max="11969" customWidth="1" width="8"/>
    <col min="11970" max="11970" customWidth="1" width="8"/>
    <col min="11971" max="11971" customWidth="1" width="8"/>
    <col min="11972" max="11972" customWidth="1" width="8"/>
    <col min="11973" max="11973" customWidth="1" width="8"/>
    <col min="11974" max="11974" customWidth="1" width="8"/>
    <col min="11975" max="11975" customWidth="1" width="8"/>
    <col min="11976" max="11976" customWidth="1" width="8"/>
    <col min="11977" max="11977" customWidth="1" width="8"/>
    <col min="11978" max="11978" customWidth="1" width="8"/>
    <col min="11979" max="11979" customWidth="1" width="8"/>
    <col min="11980" max="11980" customWidth="1" width="8"/>
    <col min="11981" max="11981" customWidth="1" width="8"/>
    <col min="11982" max="11982" customWidth="1" width="8"/>
    <col min="11983" max="11983" customWidth="1" width="8"/>
    <col min="11984" max="11984" customWidth="1" width="8"/>
    <col min="11985" max="11985" customWidth="1" width="8"/>
    <col min="11986" max="11986" customWidth="1" width="8"/>
    <col min="11987" max="11987" customWidth="1" width="8"/>
    <col min="11988" max="11988" customWidth="1" width="8"/>
    <col min="11989" max="11989" customWidth="1" width="8"/>
    <col min="11990" max="11990" customWidth="1" width="8"/>
    <col min="11991" max="11991" customWidth="1" width="8"/>
    <col min="11992" max="11992" customWidth="1" width="8"/>
    <col min="11993" max="11993" customWidth="1" width="8"/>
    <col min="11994" max="11994" customWidth="1" width="8"/>
    <col min="11995" max="11995" customWidth="1" width="8"/>
    <col min="11996" max="11996" customWidth="1" width="8"/>
    <col min="11997" max="11997" customWidth="1" width="8"/>
    <col min="11998" max="11998" customWidth="1" width="8"/>
    <col min="11999" max="11999" customWidth="1" width="8"/>
    <col min="12000" max="12000" customWidth="1" width="8"/>
    <col min="12001" max="12001" customWidth="1" width="8"/>
    <col min="12002" max="12002" customWidth="1" width="8"/>
    <col min="12003" max="12003" customWidth="1" width="8"/>
    <col min="12004" max="12004" customWidth="1" width="8"/>
    <col min="12005" max="12005" customWidth="1" width="8"/>
    <col min="12006" max="12006" customWidth="1" width="8"/>
    <col min="12007" max="12007" customWidth="1" width="8"/>
    <col min="12008" max="12008" customWidth="1" width="8"/>
    <col min="12009" max="12009" customWidth="1" width="8"/>
    <col min="12010" max="12010" customWidth="1" width="8"/>
    <col min="12011" max="12011" customWidth="1" width="8"/>
    <col min="12012" max="12012" customWidth="1" width="8"/>
    <col min="12013" max="12013" customWidth="1" width="8"/>
    <col min="12014" max="12014" customWidth="1" width="8"/>
    <col min="12015" max="12015" customWidth="1" width="8"/>
    <col min="12016" max="12016" customWidth="1" width="8"/>
    <col min="12017" max="12017" customWidth="1" width="8"/>
    <col min="12018" max="12018" customWidth="1" width="8"/>
    <col min="12019" max="12019" customWidth="1" width="8"/>
    <col min="12020" max="12020" customWidth="1" width="8"/>
    <col min="12021" max="12021" customWidth="1" width="8"/>
    <col min="12022" max="12022" customWidth="1" width="8"/>
    <col min="12023" max="12023" customWidth="1" width="8"/>
    <col min="12024" max="12024" customWidth="1" width="8"/>
    <col min="12025" max="12025" customWidth="1" width="8"/>
    <col min="12026" max="12026" customWidth="1" width="8"/>
    <col min="12027" max="12027" customWidth="1" width="8"/>
    <col min="12028" max="12028" customWidth="1" width="8"/>
    <col min="12029" max="12029" customWidth="1" width="8"/>
    <col min="12030" max="12030" customWidth="1" width="8"/>
    <col min="12031" max="12031" customWidth="1" width="8"/>
    <col min="12032" max="12032" customWidth="1" width="8"/>
    <col min="12033" max="12033" customWidth="1" width="8"/>
    <col min="12034" max="12034" customWidth="1" width="8"/>
    <col min="12035" max="12035" customWidth="1" width="8"/>
    <col min="12036" max="12036" customWidth="1" width="8"/>
    <col min="12037" max="12037" customWidth="1" width="8"/>
    <col min="12038" max="12038" customWidth="1" width="8"/>
    <col min="12039" max="12039" customWidth="1" width="8"/>
    <col min="12040" max="12040" customWidth="1" width="8"/>
    <col min="12041" max="12041" customWidth="1" width="8"/>
    <col min="12042" max="12042" customWidth="1" width="8"/>
    <col min="12043" max="12043" customWidth="1" width="8"/>
    <col min="12044" max="12044" customWidth="1" width="8"/>
    <col min="12045" max="12045" customWidth="1" width="8"/>
    <col min="12046" max="12046" customWidth="1" width="8"/>
    <col min="12047" max="12047" customWidth="1" width="8"/>
    <col min="12048" max="12048" customWidth="1" width="8"/>
    <col min="12049" max="12049" customWidth="1" width="8"/>
    <col min="12050" max="12050" customWidth="1" width="8"/>
    <col min="12051" max="12051" customWidth="1" width="8"/>
    <col min="12052" max="12052" customWidth="1" width="8"/>
    <col min="12053" max="12053" customWidth="1" width="8"/>
    <col min="12054" max="12054" customWidth="1" width="8"/>
    <col min="12055" max="12055" customWidth="1" width="8"/>
    <col min="12056" max="12056" customWidth="1" width="8"/>
    <col min="12057" max="12057" customWidth="1" width="8"/>
    <col min="12058" max="12058" customWidth="1" width="8"/>
    <col min="12059" max="12059" customWidth="1" width="8"/>
    <col min="12060" max="12060" customWidth="1" width="8"/>
    <col min="12061" max="12061" customWidth="1" width="8"/>
    <col min="12062" max="12062" customWidth="1" width="8"/>
    <col min="12063" max="12063" customWidth="1" width="8"/>
    <col min="12064" max="12064" customWidth="1" width="8"/>
    <col min="12065" max="12065" customWidth="1" width="8"/>
    <col min="12066" max="12066" customWidth="1" width="8"/>
    <col min="12067" max="12067" customWidth="1" width="8"/>
    <col min="12068" max="12068" customWidth="1" width="8"/>
    <col min="12069" max="12069" customWidth="1" width="8"/>
    <col min="12070" max="12070" customWidth="1" width="8"/>
    <col min="12071" max="12071" customWidth="1" width="8"/>
    <col min="12072" max="12072" customWidth="1" width="8"/>
    <col min="12073" max="12073" customWidth="1" width="8"/>
    <col min="12074" max="12074" customWidth="1" width="8"/>
    <col min="12075" max="12075" customWidth="1" width="8"/>
    <col min="12076" max="12076" customWidth="1" width="8"/>
    <col min="12077" max="12077" customWidth="1" width="8"/>
    <col min="12078" max="12078" customWidth="1" width="8"/>
    <col min="12079" max="12079" customWidth="1" width="8"/>
    <col min="12080" max="12080" customWidth="1" width="8"/>
    <col min="12081" max="12081" customWidth="1" width="8"/>
    <col min="12082" max="12082" customWidth="1" width="8"/>
    <col min="12083" max="12083" customWidth="1" width="8"/>
    <col min="12084" max="12084" customWidth="1" width="8"/>
    <col min="12085" max="12085" customWidth="1" width="8"/>
    <col min="12086" max="12086" customWidth="1" width="8"/>
    <col min="12087" max="12087" customWidth="1" width="8"/>
    <col min="12088" max="12088" customWidth="1" width="8"/>
    <col min="12089" max="12089" customWidth="1" width="8"/>
    <col min="12090" max="12090" customWidth="1" width="8"/>
    <col min="12091" max="12091" customWidth="1" width="8"/>
    <col min="12092" max="12092" customWidth="1" width="8"/>
    <col min="12093" max="12093" customWidth="1" width="8"/>
    <col min="12094" max="12094" customWidth="1" width="8"/>
    <col min="12095" max="12095" customWidth="1" width="8"/>
    <col min="12096" max="12096" customWidth="1" width="8"/>
    <col min="12097" max="12097" customWidth="1" width="8"/>
    <col min="12098" max="12098" customWidth="1" width="8"/>
    <col min="12099" max="12099" customWidth="1" width="8"/>
    <col min="12100" max="12100" customWidth="1" width="8"/>
    <col min="12101" max="12101" customWidth="1" width="8"/>
    <col min="12102" max="12102" customWidth="1" width="8"/>
    <col min="12103" max="12103" customWidth="1" width="8"/>
    <col min="12104" max="12104" customWidth="1" width="8"/>
    <col min="12105" max="12105" customWidth="1" width="8"/>
    <col min="12106" max="12106" customWidth="1" width="8"/>
    <col min="12107" max="12107" customWidth="1" width="8"/>
    <col min="12108" max="12108" customWidth="1" width="8"/>
    <col min="12109" max="12109" customWidth="1" width="8"/>
    <col min="12110" max="12110" customWidth="1" width="8"/>
    <col min="12111" max="12111" customWidth="1" width="8"/>
    <col min="12112" max="12112" customWidth="1" width="8"/>
    <col min="12113" max="12113" customWidth="1" width="8"/>
    <col min="12114" max="12114" customWidth="1" width="8"/>
    <col min="12115" max="12115" customWidth="1" width="8"/>
    <col min="12116" max="12116" customWidth="1" width="8"/>
    <col min="12117" max="12117" customWidth="1" width="8"/>
    <col min="12118" max="12118" customWidth="1" width="8"/>
    <col min="12119" max="12119" customWidth="1" width="8"/>
    <col min="12120" max="12120" customWidth="1" width="8"/>
    <col min="12121" max="12121" customWidth="1" width="8"/>
    <col min="12122" max="12122" customWidth="1" width="8"/>
    <col min="12123" max="12123" customWidth="1" width="8"/>
    <col min="12124" max="12124" customWidth="1" width="8"/>
    <col min="12125" max="12125" customWidth="1" width="8"/>
    <col min="12126" max="12126" customWidth="1" width="8"/>
    <col min="12127" max="12127" customWidth="1" width="8"/>
    <col min="12128" max="12128" customWidth="1" width="8"/>
    <col min="12129" max="12129" customWidth="1" width="8"/>
    <col min="12130" max="12130" customWidth="1" width="8"/>
    <col min="12131" max="12131" customWidth="1" width="8"/>
    <col min="12132" max="12132" customWidth="1" width="8"/>
    <col min="12133" max="12133" customWidth="1" width="8"/>
    <col min="12134" max="12134" customWidth="1" width="8"/>
    <col min="12135" max="12135" customWidth="1" width="8"/>
    <col min="12136" max="12136" customWidth="1" width="8"/>
    <col min="12137" max="12137" customWidth="1" width="8"/>
    <col min="12138" max="12138" customWidth="1" width="8"/>
    <col min="12139" max="12139" customWidth="1" width="8"/>
    <col min="12140" max="12140" customWidth="1" width="8"/>
    <col min="12141" max="12141" customWidth="1" width="8"/>
    <col min="12142" max="12142" customWidth="1" width="8"/>
    <col min="12143" max="12143" customWidth="1" width="8"/>
    <col min="12144" max="12144" customWidth="1" width="8"/>
    <col min="12145" max="12145" customWidth="1" width="8"/>
    <col min="12146" max="12146" customWidth="1" width="8"/>
    <col min="12147" max="12147" customWidth="1" width="8"/>
    <col min="12148" max="12148" customWidth="1" width="8"/>
    <col min="12149" max="12149" customWidth="1" width="8"/>
    <col min="12150" max="12150" customWidth="1" width="8"/>
    <col min="12151" max="12151" customWidth="1" width="8"/>
    <col min="12152" max="12152" customWidth="1" width="8"/>
    <col min="12153" max="12153" customWidth="1" width="8"/>
    <col min="12154" max="12154" customWidth="1" width="8"/>
    <col min="12155" max="12155" customWidth="1" width="8"/>
    <col min="12156" max="12156" customWidth="1" width="8"/>
    <col min="12157" max="12157" customWidth="1" width="8"/>
    <col min="12158" max="12158" customWidth="1" width="8"/>
    <col min="12159" max="12159" customWidth="1" width="8"/>
    <col min="12160" max="12160" customWidth="1" width="8"/>
    <col min="12161" max="12161" customWidth="1" width="8"/>
    <col min="12162" max="12162" customWidth="1" width="8"/>
    <col min="12163" max="12163" customWidth="1" width="8"/>
    <col min="12164" max="12164" customWidth="1" width="8"/>
    <col min="12165" max="12165" customWidth="1" width="8"/>
    <col min="12166" max="12166" customWidth="1" width="8"/>
    <col min="12167" max="12167" customWidth="1" width="8"/>
    <col min="12168" max="12168" customWidth="1" width="8"/>
    <col min="12169" max="12169" customWidth="1" width="8"/>
    <col min="12170" max="12170" customWidth="1" width="8"/>
    <col min="12171" max="12171" customWidth="1" width="8"/>
    <col min="12172" max="12172" customWidth="1" width="8"/>
    <col min="12173" max="12173" customWidth="1" width="8"/>
    <col min="12174" max="12174" customWidth="1" width="8"/>
    <col min="12175" max="12175" customWidth="1" width="8"/>
    <col min="12176" max="12176" customWidth="1" width="8"/>
    <col min="12177" max="12177" customWidth="1" width="8"/>
    <col min="12178" max="12178" customWidth="1" width="8"/>
    <col min="12179" max="12179" customWidth="1" width="8"/>
    <col min="12180" max="12180" customWidth="1" width="8"/>
    <col min="12181" max="12181" customWidth="1" width="8"/>
    <col min="12182" max="12182" customWidth="1" width="8"/>
    <col min="12183" max="12183" customWidth="1" width="8"/>
    <col min="12184" max="12184" customWidth="1" width="8"/>
    <col min="12185" max="12185" customWidth="1" width="8"/>
    <col min="12186" max="12186" customWidth="1" width="8"/>
    <col min="12187" max="12187" customWidth="1" width="8"/>
    <col min="12188" max="12188" customWidth="1" width="8"/>
    <col min="12189" max="12189" customWidth="1" width="8"/>
    <col min="12190" max="12190" customWidth="1" width="8"/>
    <col min="12191" max="12191" customWidth="1" width="8"/>
    <col min="12192" max="12192" customWidth="1" width="8"/>
    <col min="12193" max="12193" customWidth="1" width="8"/>
    <col min="12194" max="12194" customWidth="1" width="8"/>
    <col min="12195" max="12195" customWidth="1" width="8"/>
    <col min="12196" max="12196" customWidth="1" width="8"/>
    <col min="12197" max="12197" customWidth="1" width="8"/>
    <col min="12198" max="12198" customWidth="1" width="8"/>
    <col min="12199" max="12199" customWidth="1" width="8"/>
    <col min="12200" max="12200" customWidth="1" width="8"/>
    <col min="12201" max="12201" customWidth="1" width="8"/>
    <col min="12202" max="12202" customWidth="1" width="8"/>
    <col min="12203" max="12203" customWidth="1" width="8"/>
    <col min="12204" max="12204" customWidth="1" width="8"/>
    <col min="12205" max="12205" customWidth="1" width="8"/>
    <col min="12206" max="12206" customWidth="1" width="8"/>
    <col min="12207" max="12207" customWidth="1" width="8"/>
    <col min="12208" max="12208" customWidth="1" width="8"/>
    <col min="12209" max="12209" customWidth="1" width="8"/>
    <col min="12210" max="12210" customWidth="1" width="8"/>
    <col min="12211" max="12211" customWidth="1" width="8"/>
    <col min="12212" max="12212" customWidth="1" width="8"/>
    <col min="12213" max="12213" customWidth="1" width="8"/>
    <col min="12214" max="12214" customWidth="1" width="8"/>
    <col min="12215" max="12215" customWidth="1" width="8"/>
    <col min="12216" max="12216" customWidth="1" width="8"/>
    <col min="12217" max="12217" customWidth="1" width="8"/>
    <col min="12218" max="12218" customWidth="1" width="8"/>
    <col min="12219" max="12219" customWidth="1" width="8"/>
    <col min="12220" max="12220" customWidth="1" width="8"/>
    <col min="12221" max="12221" customWidth="1" width="8"/>
    <col min="12222" max="12222" customWidth="1" width="8"/>
    <col min="12223" max="12223" customWidth="1" width="8"/>
    <col min="12224" max="12224" customWidth="1" width="8"/>
    <col min="12225" max="12225" customWidth="1" width="8"/>
    <col min="12226" max="12226" customWidth="1" width="8"/>
    <col min="12227" max="12227" customWidth="1" width="8"/>
    <col min="12228" max="12228" customWidth="1" width="8"/>
    <col min="12229" max="12229" customWidth="1" width="8"/>
    <col min="12230" max="12230" customWidth="1" width="8"/>
    <col min="12231" max="12231" customWidth="1" width="8"/>
    <col min="12232" max="12232" customWidth="1" width="8"/>
    <col min="12233" max="12233" customWidth="1" width="8"/>
    <col min="12234" max="12234" customWidth="1" width="8"/>
    <col min="12235" max="12235" customWidth="1" width="8"/>
    <col min="12236" max="12236" customWidth="1" width="8"/>
    <col min="12237" max="12237" customWidth="1" width="8"/>
    <col min="12238" max="12238" customWidth="1" width="8"/>
    <col min="12239" max="12239" customWidth="1" width="8"/>
    <col min="12240" max="12240" customWidth="1" width="8"/>
    <col min="12241" max="12241" customWidth="1" width="8"/>
    <col min="12242" max="12242" customWidth="1" width="8"/>
    <col min="12243" max="12243" customWidth="1" width="8"/>
    <col min="12244" max="12244" customWidth="1" width="8"/>
    <col min="12245" max="12245" customWidth="1" width="8"/>
    <col min="12246" max="12246" customWidth="1" width="8"/>
    <col min="12247" max="12247" customWidth="1" width="8"/>
    <col min="12248" max="12248" customWidth="1" width="8"/>
    <col min="12249" max="12249" customWidth="1" width="8"/>
    <col min="12250" max="12250" customWidth="1" width="8"/>
    <col min="12251" max="12251" customWidth="1" width="8"/>
    <col min="12252" max="12252" customWidth="1" width="8"/>
    <col min="12253" max="12253" customWidth="1" width="8"/>
    <col min="12254" max="12254" customWidth="1" width="8"/>
    <col min="12255" max="12255" customWidth="1" width="8"/>
    <col min="12256" max="12256" customWidth="1" width="8"/>
    <col min="12257" max="12257" customWidth="1" width="8"/>
    <col min="12258" max="12258" customWidth="1" width="8"/>
    <col min="12259" max="12259" customWidth="1" width="8"/>
    <col min="12260" max="12260" customWidth="1" width="8"/>
    <col min="12261" max="12261" customWidth="1" width="8"/>
    <col min="12262" max="12262" customWidth="1" width="8"/>
    <col min="12263" max="12263" customWidth="1" width="8"/>
    <col min="12264" max="12264" customWidth="1" width="8"/>
    <col min="12265" max="12265" customWidth="1" width="8"/>
    <col min="12266" max="12266" customWidth="1" width="8"/>
    <col min="12267" max="12267" customWidth="1" width="8"/>
    <col min="12268" max="12268" customWidth="1" width="8"/>
    <col min="12269" max="12269" customWidth="1" width="8"/>
    <col min="12270" max="12270" customWidth="1" width="8"/>
    <col min="12271" max="12271" customWidth="1" width="8"/>
    <col min="12272" max="12272" customWidth="1" width="8"/>
    <col min="12273" max="12273" customWidth="1" width="8"/>
    <col min="12274" max="12274" customWidth="1" width="8"/>
    <col min="12275" max="12275" customWidth="1" width="8"/>
    <col min="12276" max="12276" customWidth="1" width="8"/>
    <col min="12277" max="12277" customWidth="1" width="8"/>
    <col min="12278" max="12278" customWidth="1" width="8"/>
    <col min="12279" max="12279" customWidth="1" width="8"/>
    <col min="12280" max="12280" customWidth="1" width="8"/>
    <col min="12281" max="12281" customWidth="1" width="8"/>
    <col min="12282" max="12282" customWidth="1" width="8"/>
    <col min="12283" max="12283" customWidth="1" width="8"/>
    <col min="12284" max="12284" customWidth="1" width="8"/>
    <col min="12285" max="12285" customWidth="1" width="8"/>
    <col min="12286" max="12286" customWidth="1" width="8"/>
    <col min="12287" max="12287" customWidth="1" width="8"/>
    <col min="12288" max="12288" customWidth="1" width="8"/>
    <col min="12289" max="12289" customWidth="1" width="8"/>
    <col min="12290" max="12290" customWidth="1" width="8"/>
    <col min="12291" max="12291" customWidth="1" width="8"/>
    <col min="12292" max="12292" customWidth="1" width="8"/>
    <col min="12293" max="12293" customWidth="1" width="8"/>
    <col min="12294" max="12294" customWidth="1" width="8"/>
    <col min="12295" max="12295" customWidth="1" width="8"/>
    <col min="12296" max="12296" customWidth="1" width="8"/>
    <col min="12297" max="12297" customWidth="1" width="8"/>
    <col min="12298" max="12298" customWidth="1" width="8"/>
    <col min="12299" max="12299" customWidth="1" width="8"/>
    <col min="12300" max="12300" customWidth="1" width="8"/>
    <col min="12301" max="12301" customWidth="1" width="8"/>
    <col min="12302" max="12302" customWidth="1" width="8"/>
    <col min="12303" max="12303" customWidth="1" width="8"/>
    <col min="12304" max="12304" customWidth="1" width="8"/>
    <col min="12305" max="12305" customWidth="1" width="8"/>
    <col min="12306" max="12306" customWidth="1" width="8"/>
    <col min="12307" max="12307" customWidth="1" width="8"/>
    <col min="12308" max="12308" customWidth="1" width="8"/>
    <col min="12309" max="12309" customWidth="1" width="8"/>
    <col min="12310" max="12310" customWidth="1" width="8"/>
    <col min="12311" max="12311" customWidth="1" width="8"/>
    <col min="12312" max="12312" customWidth="1" width="8"/>
    <col min="12313" max="12313" customWidth="1" width="8"/>
    <col min="12314" max="12314" customWidth="1" width="8"/>
    <col min="12315" max="12315" customWidth="1" width="8"/>
    <col min="12316" max="12316" customWidth="1" width="8"/>
    <col min="12317" max="12317" customWidth="1" width="8"/>
    <col min="12318" max="12318" customWidth="1" width="8"/>
    <col min="12319" max="12319" customWidth="1" width="8"/>
    <col min="12320" max="12320" customWidth="1" width="8"/>
    <col min="12321" max="12321" customWidth="1" width="8"/>
    <col min="12322" max="12322" customWidth="1" width="8"/>
    <col min="12323" max="12323" customWidth="1" width="8"/>
    <col min="12324" max="12324" customWidth="1" width="8"/>
    <col min="12325" max="12325" customWidth="1" width="8"/>
    <col min="12326" max="12326" customWidth="1" width="8"/>
    <col min="12327" max="12327" customWidth="1" width="8"/>
    <col min="12328" max="12328" customWidth="1" width="8"/>
    <col min="12329" max="12329" customWidth="1" width="8"/>
    <col min="12330" max="12330" customWidth="1" width="8"/>
    <col min="12331" max="12331" customWidth="1" width="8"/>
    <col min="12332" max="12332" customWidth="1" width="8"/>
    <col min="12333" max="12333" customWidth="1" width="8"/>
    <col min="12334" max="12334" customWidth="1" width="8"/>
    <col min="12335" max="12335" customWidth="1" width="8"/>
    <col min="12336" max="12336" customWidth="1" width="8"/>
    <col min="12337" max="12337" customWidth="1" width="8"/>
    <col min="12338" max="12338" customWidth="1" width="8"/>
    <col min="12339" max="12339" customWidth="1" width="8"/>
    <col min="12340" max="12340" customWidth="1" width="8"/>
    <col min="12341" max="12341" customWidth="1" width="8"/>
    <col min="12342" max="12342" customWidth="1" width="8"/>
    <col min="12343" max="12343" customWidth="1" width="8"/>
    <col min="12344" max="12344" customWidth="1" width="8"/>
    <col min="12345" max="12345" customWidth="1" width="8"/>
    <col min="12346" max="12346" customWidth="1" width="8"/>
    <col min="12347" max="12347" customWidth="1" width="8"/>
    <col min="12348" max="12348" customWidth="1" width="8"/>
    <col min="12349" max="12349" customWidth="1" width="8"/>
    <col min="12350" max="12350" customWidth="1" width="8"/>
    <col min="12351" max="12351" customWidth="1" width="8"/>
    <col min="12352" max="12352" customWidth="1" width="8"/>
    <col min="12353" max="12353" customWidth="1" width="8"/>
    <col min="12354" max="12354" customWidth="1" width="8"/>
    <col min="12355" max="12355" customWidth="1" width="8"/>
    <col min="12356" max="12356" customWidth="1" width="8"/>
    <col min="12357" max="12357" customWidth="1" width="8"/>
    <col min="12358" max="12358" customWidth="1" width="8"/>
    <col min="12359" max="12359" customWidth="1" width="8"/>
    <col min="12360" max="12360" customWidth="1" width="8"/>
    <col min="12361" max="12361" customWidth="1" width="8"/>
    <col min="12362" max="12362" customWidth="1" width="8"/>
    <col min="12363" max="12363" customWidth="1" width="8"/>
    <col min="12364" max="12364" customWidth="1" width="8"/>
    <col min="12365" max="12365" customWidth="1" width="8"/>
    <col min="12366" max="12366" customWidth="1" width="8"/>
    <col min="12367" max="12367" customWidth="1" width="8"/>
    <col min="12368" max="12368" customWidth="1" width="8"/>
    <col min="12369" max="12369" customWidth="1" width="8"/>
    <col min="12370" max="12370" customWidth="1" width="8"/>
    <col min="12371" max="12371" customWidth="1" width="8"/>
    <col min="12372" max="12372" customWidth="1" width="8"/>
    <col min="12373" max="12373" customWidth="1" width="8"/>
    <col min="12374" max="12374" customWidth="1" width="8"/>
    <col min="12375" max="12375" customWidth="1" width="8"/>
    <col min="12376" max="12376" customWidth="1" width="8"/>
    <col min="12377" max="12377" customWidth="1" width="8"/>
    <col min="12378" max="12378" customWidth="1" width="8"/>
    <col min="12379" max="12379" customWidth="1" width="8"/>
    <col min="12380" max="12380" customWidth="1" width="8"/>
    <col min="12381" max="12381" customWidth="1" width="8"/>
    <col min="12382" max="12382" customWidth="1" width="8"/>
    <col min="12383" max="12383" customWidth="1" width="8"/>
    <col min="12384" max="12384" customWidth="1" width="8"/>
    <col min="12385" max="12385" customWidth="1" width="8"/>
    <col min="12386" max="12386" customWidth="1" width="8"/>
    <col min="12387" max="12387" customWidth="1" width="8"/>
    <col min="12388" max="12388" customWidth="1" width="8"/>
    <col min="12389" max="12389" customWidth="1" width="8"/>
    <col min="12390" max="12390" customWidth="1" width="8"/>
    <col min="12391" max="12391" customWidth="1" width="8"/>
    <col min="12392" max="12392" customWidth="1" width="8"/>
    <col min="12393" max="12393" customWidth="1" width="8"/>
    <col min="12394" max="12394" customWidth="1" width="8"/>
    <col min="12395" max="12395" customWidth="1" width="8"/>
    <col min="12396" max="12396" customWidth="1" width="8"/>
    <col min="12397" max="12397" customWidth="1" width="8"/>
    <col min="12398" max="12398" customWidth="1" width="8"/>
    <col min="12399" max="12399" customWidth="1" width="8"/>
    <col min="12400" max="12400" customWidth="1" width="8"/>
    <col min="12401" max="12401" customWidth="1" width="8"/>
    <col min="12402" max="12402" customWidth="1" width="8"/>
    <col min="12403" max="12403" customWidth="1" width="8"/>
    <col min="12404" max="12404" customWidth="1" width="8"/>
    <col min="12405" max="12405" customWidth="1" width="8"/>
    <col min="12406" max="12406" customWidth="1" width="8"/>
    <col min="12407" max="12407" customWidth="1" width="8"/>
    <col min="12408" max="12408" customWidth="1" width="8"/>
    <col min="12409" max="12409" customWidth="1" width="8"/>
    <col min="12410" max="12410" customWidth="1" width="8"/>
    <col min="12411" max="12411" customWidth="1" width="8"/>
    <col min="12412" max="12412" customWidth="1" width="8"/>
    <col min="12413" max="12413" customWidth="1" width="8"/>
    <col min="12414" max="12414" customWidth="1" width="8"/>
    <col min="12415" max="12415" customWidth="1" width="8"/>
    <col min="12416" max="12416" customWidth="1" width="8"/>
    <col min="12417" max="12417" customWidth="1" width="8"/>
    <col min="12418" max="12418" customWidth="1" width="8"/>
    <col min="12419" max="12419" customWidth="1" width="8"/>
    <col min="12420" max="12420" customWidth="1" width="8"/>
    <col min="12421" max="12421" customWidth="1" width="8"/>
    <col min="12422" max="12422" customWidth="1" width="8"/>
    <col min="12423" max="12423" customWidth="1" width="8"/>
    <col min="12424" max="12424" customWidth="1" width="8"/>
    <col min="12425" max="12425" customWidth="1" width="8"/>
    <col min="12426" max="12426" customWidth="1" width="8"/>
    <col min="12427" max="12427" customWidth="1" width="8"/>
    <col min="12428" max="12428" customWidth="1" width="8"/>
    <col min="12429" max="12429" customWidth="1" width="8"/>
    <col min="12430" max="12430" customWidth="1" width="8"/>
    <col min="12431" max="12431" customWidth="1" width="8"/>
    <col min="12432" max="12432" customWidth="1" width="8"/>
    <col min="12433" max="12433" customWidth="1" width="8"/>
    <col min="12434" max="12434" customWidth="1" width="8"/>
    <col min="12435" max="12435" customWidth="1" width="8"/>
    <col min="12436" max="12436" customWidth="1" width="8"/>
    <col min="12437" max="12437" customWidth="1" width="8"/>
    <col min="12438" max="12438" customWidth="1" width="8"/>
    <col min="12439" max="12439" customWidth="1" width="8"/>
    <col min="12440" max="12440" customWidth="1" width="8"/>
    <col min="12441" max="12441" customWidth="1" width="8"/>
    <col min="12442" max="12442" customWidth="1" width="8"/>
    <col min="12443" max="12443" customWidth="1" width="8"/>
    <col min="12444" max="12444" customWidth="1" width="8"/>
    <col min="12445" max="12445" customWidth="1" width="8"/>
    <col min="12446" max="12446" customWidth="1" width="8"/>
    <col min="12447" max="12447" customWidth="1" width="8"/>
    <col min="12448" max="12448" customWidth="1" width="8"/>
    <col min="12449" max="12449" customWidth="1" width="8"/>
    <col min="12450" max="12450" customWidth="1" width="8"/>
    <col min="12451" max="12451" customWidth="1" width="8"/>
    <col min="12452" max="12452" customWidth="1" width="8"/>
    <col min="12453" max="12453" customWidth="1" width="8"/>
    <col min="12454" max="12454" customWidth="1" width="8"/>
    <col min="12455" max="12455" customWidth="1" width="8"/>
    <col min="12456" max="12456" customWidth="1" width="8"/>
    <col min="12457" max="12457" customWidth="1" width="8"/>
    <col min="12458" max="12458" customWidth="1" width="8"/>
    <col min="12459" max="12459" customWidth="1" width="8"/>
    <col min="12460" max="12460" customWidth="1" width="8"/>
    <col min="12461" max="12461" customWidth="1" width="8"/>
    <col min="12462" max="12462" customWidth="1" width="8"/>
    <col min="12463" max="12463" customWidth="1" width="8"/>
    <col min="12464" max="12464" customWidth="1" width="8"/>
    <col min="12465" max="12465" customWidth="1" width="8"/>
    <col min="12466" max="12466" customWidth="1" width="8"/>
    <col min="12467" max="12467" customWidth="1" width="8"/>
    <col min="12468" max="12468" customWidth="1" width="8"/>
    <col min="12469" max="12469" customWidth="1" width="8"/>
    <col min="12470" max="12470" customWidth="1" width="8"/>
    <col min="12471" max="12471" customWidth="1" width="8"/>
    <col min="12472" max="12472" customWidth="1" width="8"/>
    <col min="12473" max="12473" customWidth="1" width="8"/>
    <col min="12474" max="12474" customWidth="1" width="8"/>
    <col min="12475" max="12475" customWidth="1" width="8"/>
    <col min="12476" max="12476" customWidth="1" width="8"/>
    <col min="12477" max="12477" customWidth="1" width="8"/>
    <col min="12478" max="12478" customWidth="1" width="8"/>
    <col min="12479" max="12479" customWidth="1" width="8"/>
    <col min="12480" max="12480" customWidth="1" width="8"/>
    <col min="12481" max="12481" customWidth="1" width="8"/>
    <col min="12482" max="12482" customWidth="1" width="8"/>
    <col min="12483" max="12483" customWidth="1" width="8"/>
    <col min="12484" max="12484" customWidth="1" width="8"/>
    <col min="12485" max="12485" customWidth="1" width="8"/>
    <col min="12486" max="12486" customWidth="1" width="8"/>
    <col min="12487" max="12487" customWidth="1" width="8"/>
    <col min="12488" max="12488" customWidth="1" width="8"/>
    <col min="12489" max="12489" customWidth="1" width="8"/>
    <col min="12490" max="12490" customWidth="1" width="8"/>
    <col min="12491" max="12491" customWidth="1" width="8"/>
    <col min="12492" max="12492" customWidth="1" width="8"/>
    <col min="12493" max="12493" customWidth="1" width="8"/>
    <col min="12494" max="12494" customWidth="1" width="8"/>
    <col min="12495" max="12495" customWidth="1" width="8"/>
    <col min="12496" max="12496" customWidth="1" width="8"/>
    <col min="12497" max="12497" customWidth="1" width="8"/>
    <col min="12498" max="12498" customWidth="1" width="8"/>
    <col min="12499" max="12499" customWidth="1" width="8"/>
    <col min="12500" max="12500" customWidth="1" width="8"/>
    <col min="12501" max="12501" customWidth="1" width="8"/>
    <col min="12502" max="12502" customWidth="1" width="8"/>
    <col min="12503" max="12503" customWidth="1" width="8"/>
    <col min="12504" max="12504" customWidth="1" width="8"/>
    <col min="12505" max="12505" customWidth="1" width="8"/>
    <col min="12506" max="12506" customWidth="1" width="8"/>
    <col min="12507" max="12507" customWidth="1" width="8"/>
    <col min="12508" max="12508" customWidth="1" width="8"/>
    <col min="12509" max="12509" customWidth="1" width="8"/>
    <col min="12510" max="12510" customWidth="1" width="8"/>
    <col min="12511" max="12511" customWidth="1" width="8"/>
    <col min="12512" max="12512" customWidth="1" width="8"/>
    <col min="12513" max="12513" customWidth="1" width="8"/>
    <col min="12514" max="12514" customWidth="1" width="8"/>
    <col min="12515" max="12515" customWidth="1" width="8"/>
    <col min="12516" max="12516" customWidth="1" width="8"/>
    <col min="12517" max="12517" customWidth="1" width="8"/>
    <col min="12518" max="12518" customWidth="1" width="8"/>
    <col min="12519" max="12519" customWidth="1" width="8"/>
    <col min="12520" max="12520" customWidth="1" width="8"/>
    <col min="12521" max="12521" customWidth="1" width="8"/>
    <col min="12522" max="12522" customWidth="1" width="8"/>
    <col min="12523" max="12523" customWidth="1" width="8"/>
    <col min="12524" max="12524" customWidth="1" width="8"/>
    <col min="12525" max="12525" customWidth="1" width="8"/>
    <col min="12526" max="12526" customWidth="1" width="8"/>
    <col min="12527" max="12527" customWidth="1" width="8"/>
    <col min="12528" max="12528" customWidth="1" width="8"/>
    <col min="12529" max="12529" customWidth="1" width="8"/>
    <col min="12530" max="12530" customWidth="1" width="8"/>
    <col min="12531" max="12531" customWidth="1" width="8"/>
    <col min="12532" max="12532" customWidth="1" width="8"/>
    <col min="12533" max="12533" customWidth="1" width="8"/>
    <col min="12534" max="12534" customWidth="1" width="8"/>
    <col min="12535" max="12535" customWidth="1" width="8"/>
    <col min="12536" max="12536" customWidth="1" width="8"/>
    <col min="12537" max="12537" customWidth="1" width="8"/>
    <col min="12538" max="12538" customWidth="1" width="8"/>
    <col min="12539" max="12539" customWidth="1" width="8"/>
    <col min="12540" max="12540" customWidth="1" width="8"/>
    <col min="12541" max="12541" customWidth="1" width="8"/>
    <col min="12542" max="12542" customWidth="1" width="8"/>
    <col min="12543" max="12543" customWidth="1" width="8"/>
    <col min="12544" max="12544" customWidth="1" width="8"/>
    <col min="12545" max="12545" customWidth="1" width="8"/>
    <col min="12546" max="12546" customWidth="1" width="8"/>
    <col min="12547" max="12547" customWidth="1" width="8"/>
    <col min="12548" max="12548" customWidth="1" width="8"/>
    <col min="12549" max="12549" customWidth="1" width="8"/>
    <col min="12550" max="12550" customWidth="1" width="8"/>
    <col min="12551" max="12551" customWidth="1" width="8"/>
    <col min="12552" max="12552" customWidth="1" width="8"/>
    <col min="12553" max="12553" customWidth="1" width="8"/>
    <col min="12554" max="12554" customWidth="1" width="8"/>
    <col min="12555" max="12555" customWidth="1" width="8"/>
    <col min="12556" max="12556" customWidth="1" width="8"/>
    <col min="12557" max="12557" customWidth="1" width="8"/>
    <col min="12558" max="12558" customWidth="1" width="8"/>
    <col min="12559" max="12559" customWidth="1" width="8"/>
    <col min="12560" max="12560" customWidth="1" width="8"/>
    <col min="12561" max="12561" customWidth="1" width="8"/>
    <col min="12562" max="12562" customWidth="1" width="8"/>
    <col min="12563" max="12563" customWidth="1" width="8"/>
    <col min="12564" max="12564" customWidth="1" width="8"/>
    <col min="12565" max="12565" customWidth="1" width="8"/>
    <col min="12566" max="12566" customWidth="1" width="8"/>
    <col min="12567" max="12567" customWidth="1" width="8"/>
    <col min="12568" max="12568" customWidth="1" width="8"/>
    <col min="12569" max="12569" customWidth="1" width="8"/>
    <col min="12570" max="12570" customWidth="1" width="8"/>
    <col min="12571" max="12571" customWidth="1" width="8"/>
    <col min="12572" max="12572" customWidth="1" width="8"/>
    <col min="12573" max="12573" customWidth="1" width="8"/>
    <col min="12574" max="12574" customWidth="1" width="8"/>
    <col min="12575" max="12575" customWidth="1" width="8"/>
    <col min="12576" max="12576" customWidth="1" width="8"/>
    <col min="12577" max="12577" customWidth="1" width="8"/>
    <col min="12578" max="12578" customWidth="1" width="8"/>
    <col min="12579" max="12579" customWidth="1" width="8"/>
    <col min="12580" max="12580" customWidth="1" width="8"/>
    <col min="12581" max="12581" customWidth="1" width="8"/>
    <col min="12582" max="12582" customWidth="1" width="8"/>
    <col min="12583" max="12583" customWidth="1" width="8"/>
    <col min="12584" max="12584" customWidth="1" width="8"/>
    <col min="12585" max="12585" customWidth="1" width="8"/>
    <col min="12586" max="12586" customWidth="1" width="8"/>
    <col min="12587" max="12587" customWidth="1" width="8"/>
    <col min="12588" max="12588" customWidth="1" width="8"/>
    <col min="12589" max="12589" customWidth="1" width="8"/>
    <col min="12590" max="12590" customWidth="1" width="8"/>
    <col min="12591" max="12591" customWidth="1" width="8"/>
    <col min="12592" max="12592" customWidth="1" width="8"/>
    <col min="12593" max="12593" customWidth="1" width="8"/>
    <col min="12594" max="12594" customWidth="1" width="8"/>
    <col min="12595" max="12595" customWidth="1" width="8"/>
    <col min="12596" max="12596" customWidth="1" width="8"/>
    <col min="12597" max="12597" customWidth="1" width="8"/>
    <col min="12598" max="12598" customWidth="1" width="8"/>
    <col min="12599" max="12599" customWidth="1" width="8"/>
    <col min="12600" max="12600" customWidth="1" width="8"/>
    <col min="12601" max="12601" customWidth="1" width="8"/>
    <col min="12602" max="12602" customWidth="1" width="8"/>
    <col min="12603" max="12603" customWidth="1" width="8"/>
    <col min="12604" max="12604" customWidth="1" width="8"/>
    <col min="12605" max="12605" customWidth="1" width="8"/>
    <col min="12606" max="12606" customWidth="1" width="8"/>
    <col min="12607" max="12607" customWidth="1" width="8"/>
    <col min="12608" max="12608" customWidth="1" width="8"/>
    <col min="12609" max="12609" customWidth="1" width="8"/>
    <col min="12610" max="12610" customWidth="1" width="8"/>
    <col min="12611" max="12611" customWidth="1" width="8"/>
    <col min="12612" max="12612" customWidth="1" width="8"/>
    <col min="12613" max="12613" customWidth="1" width="8"/>
    <col min="12614" max="12614" customWidth="1" width="8"/>
    <col min="12615" max="12615" customWidth="1" width="8"/>
    <col min="12616" max="12616" customWidth="1" width="8"/>
    <col min="12617" max="12617" customWidth="1" width="8"/>
    <col min="12618" max="12618" customWidth="1" width="8"/>
    <col min="12619" max="12619" customWidth="1" width="8"/>
    <col min="12620" max="12620" customWidth="1" width="8"/>
    <col min="12621" max="12621" customWidth="1" width="8"/>
    <col min="12622" max="12622" customWidth="1" width="8"/>
    <col min="12623" max="12623" customWidth="1" width="8"/>
    <col min="12624" max="12624" customWidth="1" width="8"/>
    <col min="12625" max="12625" customWidth="1" width="8"/>
    <col min="12626" max="12626" customWidth="1" width="8"/>
    <col min="12627" max="12627" customWidth="1" width="8"/>
    <col min="12628" max="12628" customWidth="1" width="8"/>
    <col min="12629" max="12629" customWidth="1" width="8"/>
    <col min="12630" max="12630" customWidth="1" width="8"/>
    <col min="12631" max="12631" customWidth="1" width="8"/>
    <col min="12632" max="12632" customWidth="1" width="8"/>
    <col min="12633" max="12633" customWidth="1" width="8"/>
    <col min="12634" max="12634" customWidth="1" width="8"/>
    <col min="12635" max="12635" customWidth="1" width="8"/>
    <col min="12636" max="12636" customWidth="1" width="8"/>
    <col min="12637" max="12637" customWidth="1" width="8"/>
    <col min="12638" max="12638" customWidth="1" width="8"/>
    <col min="12639" max="12639" customWidth="1" width="8"/>
    <col min="12640" max="12640" customWidth="1" width="8"/>
    <col min="12641" max="12641" customWidth="1" width="8"/>
    <col min="12642" max="12642" customWidth="1" width="8"/>
    <col min="12643" max="12643" customWidth="1" width="8"/>
    <col min="12644" max="12644" customWidth="1" width="8"/>
    <col min="12645" max="12645" customWidth="1" width="8"/>
    <col min="12646" max="12646" customWidth="1" width="8"/>
    <col min="12647" max="12647" customWidth="1" width="8"/>
    <col min="12648" max="12648" customWidth="1" width="8"/>
    <col min="12649" max="12649" customWidth="1" width="8"/>
    <col min="12650" max="12650" customWidth="1" width="8"/>
    <col min="12651" max="12651" customWidth="1" width="8"/>
    <col min="12652" max="12652" customWidth="1" width="8"/>
    <col min="12653" max="12653" customWidth="1" width="8"/>
    <col min="12654" max="12654" customWidth="1" width="8"/>
    <col min="12655" max="12655" customWidth="1" width="8"/>
    <col min="12656" max="12656" customWidth="1" width="8"/>
    <col min="12657" max="12657" customWidth="1" width="8"/>
    <col min="12658" max="12658" customWidth="1" width="8"/>
    <col min="12659" max="12659" customWidth="1" width="8"/>
    <col min="12660" max="12660" customWidth="1" width="8"/>
    <col min="12661" max="12661" customWidth="1" width="8"/>
    <col min="12662" max="12662" customWidth="1" width="8"/>
    <col min="12663" max="12663" customWidth="1" width="8"/>
    <col min="12664" max="12664" customWidth="1" width="8"/>
    <col min="12665" max="12665" customWidth="1" width="8"/>
    <col min="12666" max="12666" customWidth="1" width="8"/>
    <col min="12667" max="12667" customWidth="1" width="8"/>
    <col min="12668" max="12668" customWidth="1" width="8"/>
    <col min="12669" max="12669" customWidth="1" width="8"/>
    <col min="12670" max="12670" customWidth="1" width="8"/>
    <col min="12671" max="12671" customWidth="1" width="8"/>
    <col min="12672" max="12672" customWidth="1" width="8"/>
    <col min="12673" max="12673" customWidth="1" width="8"/>
    <col min="12674" max="12674" customWidth="1" width="8"/>
    <col min="12675" max="12675" customWidth="1" width="8"/>
    <col min="12676" max="12676" customWidth="1" width="8"/>
    <col min="12677" max="12677" customWidth="1" width="8"/>
    <col min="12678" max="12678" customWidth="1" width="8"/>
    <col min="12679" max="12679" customWidth="1" width="8"/>
    <col min="12680" max="12680" customWidth="1" width="8"/>
    <col min="12681" max="12681" customWidth="1" width="8"/>
    <col min="12682" max="12682" customWidth="1" width="8"/>
    <col min="12683" max="12683" customWidth="1" width="8"/>
    <col min="12684" max="12684" customWidth="1" width="8"/>
    <col min="12685" max="12685" customWidth="1" width="8"/>
    <col min="12686" max="12686" customWidth="1" width="8"/>
    <col min="12687" max="12687" customWidth="1" width="8"/>
    <col min="12688" max="12688" customWidth="1" width="8"/>
    <col min="12689" max="12689" customWidth="1" width="8"/>
    <col min="12690" max="12690" customWidth="1" width="8"/>
    <col min="12691" max="12691" customWidth="1" width="8"/>
    <col min="12692" max="12692" customWidth="1" width="8"/>
    <col min="12693" max="12693" customWidth="1" width="8"/>
    <col min="12694" max="12694" customWidth="1" width="8"/>
    <col min="12695" max="12695" customWidth="1" width="8"/>
    <col min="12696" max="12696" customWidth="1" width="8"/>
    <col min="12697" max="12697" customWidth="1" width="8"/>
    <col min="12698" max="12698" customWidth="1" width="8"/>
    <col min="12699" max="12699" customWidth="1" width="8"/>
    <col min="12700" max="12700" customWidth="1" width="8"/>
    <col min="12701" max="12701" customWidth="1" width="8"/>
    <col min="12702" max="12702" customWidth="1" width="8"/>
    <col min="12703" max="12703" customWidth="1" width="8"/>
    <col min="12704" max="12704" customWidth="1" width="8"/>
    <col min="12705" max="12705" customWidth="1" width="8"/>
    <col min="12706" max="12706" customWidth="1" width="8"/>
    <col min="12707" max="12707" customWidth="1" width="8"/>
    <col min="12708" max="12708" customWidth="1" width="8"/>
    <col min="12709" max="12709" customWidth="1" width="8"/>
    <col min="12710" max="12710" customWidth="1" width="8"/>
    <col min="12711" max="12711" customWidth="1" width="8"/>
    <col min="12712" max="12712" customWidth="1" width="8"/>
    <col min="12713" max="12713" customWidth="1" width="8"/>
    <col min="12714" max="12714" customWidth="1" width="8"/>
    <col min="12715" max="12715" customWidth="1" width="8"/>
    <col min="12716" max="12716" customWidth="1" width="8"/>
    <col min="12717" max="12717" customWidth="1" width="8"/>
    <col min="12718" max="12718" customWidth="1" width="8"/>
    <col min="12719" max="12719" customWidth="1" width="8"/>
    <col min="12720" max="12720" customWidth="1" width="8"/>
    <col min="12721" max="12721" customWidth="1" width="8"/>
    <col min="12722" max="12722" customWidth="1" width="8"/>
    <col min="12723" max="12723" customWidth="1" width="8"/>
    <col min="12724" max="12724" customWidth="1" width="8"/>
    <col min="12725" max="12725" customWidth="1" width="8"/>
    <col min="12726" max="12726" customWidth="1" width="8"/>
    <col min="12727" max="12727" customWidth="1" width="8"/>
    <col min="12728" max="12728" customWidth="1" width="8"/>
    <col min="12729" max="12729" customWidth="1" width="8"/>
    <col min="12730" max="12730" customWidth="1" width="8"/>
    <col min="12731" max="12731" customWidth="1" width="8"/>
    <col min="12732" max="12732" customWidth="1" width="8"/>
    <col min="12733" max="12733" customWidth="1" width="8"/>
    <col min="12734" max="12734" customWidth="1" width="8"/>
    <col min="12735" max="12735" customWidth="1" width="8"/>
    <col min="12736" max="12736" customWidth="1" width="8"/>
    <col min="12737" max="12737" customWidth="1" width="8"/>
    <col min="12738" max="12738" customWidth="1" width="8"/>
    <col min="12739" max="12739" customWidth="1" width="8"/>
    <col min="12740" max="12740" customWidth="1" width="8"/>
    <col min="12741" max="12741" customWidth="1" width="8"/>
    <col min="12742" max="12742" customWidth="1" width="8"/>
    <col min="12743" max="12743" customWidth="1" width="8"/>
    <col min="12744" max="12744" customWidth="1" width="8"/>
    <col min="12745" max="12745" customWidth="1" width="8"/>
    <col min="12746" max="12746" customWidth="1" width="8"/>
    <col min="12747" max="12747" customWidth="1" width="8"/>
    <col min="12748" max="12748" customWidth="1" width="8"/>
    <col min="12749" max="12749" customWidth="1" width="8"/>
    <col min="12750" max="12750" customWidth="1" width="8"/>
    <col min="12751" max="12751" customWidth="1" width="8"/>
    <col min="12752" max="12752" customWidth="1" width="8"/>
    <col min="12753" max="12753" customWidth="1" width="8"/>
    <col min="12754" max="12754" customWidth="1" width="8"/>
    <col min="12755" max="12755" customWidth="1" width="8"/>
    <col min="12756" max="12756" customWidth="1" width="8"/>
    <col min="12757" max="12757" customWidth="1" width="8"/>
    <col min="12758" max="12758" customWidth="1" width="8"/>
    <col min="12759" max="12759" customWidth="1" width="8"/>
    <col min="12760" max="12760" customWidth="1" width="8"/>
    <col min="12761" max="12761" customWidth="1" width="8"/>
    <col min="12762" max="12762" customWidth="1" width="8"/>
    <col min="12763" max="12763" customWidth="1" width="8"/>
    <col min="12764" max="12764" customWidth="1" width="8"/>
    <col min="12765" max="12765" customWidth="1" width="8"/>
    <col min="12766" max="12766" customWidth="1" width="8"/>
    <col min="12767" max="12767" customWidth="1" width="8"/>
    <col min="12768" max="12768" customWidth="1" width="8"/>
    <col min="12769" max="12769" customWidth="1" width="8"/>
    <col min="12770" max="12770" customWidth="1" width="8"/>
    <col min="12771" max="12771" customWidth="1" width="8"/>
    <col min="12772" max="12772" customWidth="1" width="8"/>
    <col min="12773" max="12773" customWidth="1" width="8"/>
    <col min="12774" max="12774" customWidth="1" width="8"/>
    <col min="12775" max="12775" customWidth="1" width="8"/>
    <col min="12776" max="12776" customWidth="1" width="8"/>
    <col min="12777" max="12777" customWidth="1" width="8"/>
    <col min="12778" max="12778" customWidth="1" width="8"/>
    <col min="12779" max="12779" customWidth="1" width="8"/>
    <col min="12780" max="12780" customWidth="1" width="8"/>
    <col min="12781" max="12781" customWidth="1" width="8"/>
    <col min="12782" max="12782" customWidth="1" width="8"/>
    <col min="12783" max="12783" customWidth="1" width="8"/>
    <col min="12784" max="12784" customWidth="1" width="8"/>
    <col min="12785" max="12785" customWidth="1" width="8"/>
    <col min="12786" max="12786" customWidth="1" width="8"/>
    <col min="12787" max="12787" customWidth="1" width="8"/>
    <col min="12788" max="12788" customWidth="1" width="8"/>
    <col min="12789" max="12789" customWidth="1" width="8"/>
    <col min="12790" max="12790" customWidth="1" width="8"/>
    <col min="12791" max="12791" customWidth="1" width="8"/>
    <col min="12792" max="12792" customWidth="1" width="8"/>
    <col min="12793" max="12793" customWidth="1" width="8"/>
    <col min="12794" max="12794" customWidth="1" width="8"/>
    <col min="12795" max="12795" customWidth="1" width="8"/>
    <col min="12796" max="12796" customWidth="1" width="8"/>
    <col min="12797" max="12797" customWidth="1" width="8"/>
    <col min="12798" max="12798" customWidth="1" width="8"/>
    <col min="12799" max="12799" customWidth="1" width="8"/>
    <col min="12800" max="12800" customWidth="1" width="8"/>
    <col min="12801" max="12801" customWidth="1" width="8"/>
    <col min="12802" max="12802" customWidth="1" width="8"/>
    <col min="12803" max="12803" customWidth="1" width="8"/>
    <col min="12804" max="12804" customWidth="1" width="8"/>
    <col min="12805" max="12805" customWidth="1" width="8"/>
    <col min="12806" max="12806" customWidth="1" width="8"/>
    <col min="12807" max="12807" customWidth="1" width="8"/>
    <col min="12808" max="12808" customWidth="1" width="8"/>
    <col min="12809" max="12809" customWidth="1" width="8"/>
    <col min="12810" max="12810" customWidth="1" width="8"/>
    <col min="12811" max="12811" customWidth="1" width="8"/>
    <col min="12812" max="12812" customWidth="1" width="8"/>
    <col min="12813" max="12813" customWidth="1" width="8"/>
    <col min="12814" max="12814" customWidth="1" width="8"/>
    <col min="12815" max="12815" customWidth="1" width="8"/>
    <col min="12816" max="12816" customWidth="1" width="8"/>
    <col min="12817" max="12817" customWidth="1" width="8"/>
    <col min="12818" max="12818" customWidth="1" width="8"/>
    <col min="12819" max="12819" customWidth="1" width="8"/>
    <col min="12820" max="12820" customWidth="1" width="8"/>
    <col min="12821" max="12821" customWidth="1" width="8"/>
    <col min="12822" max="12822" customWidth="1" width="8"/>
    <col min="12823" max="12823" customWidth="1" width="8"/>
    <col min="12824" max="12824" customWidth="1" width="8"/>
    <col min="12825" max="12825" customWidth="1" width="8"/>
    <col min="12826" max="12826" customWidth="1" width="8"/>
    <col min="12827" max="12827" customWidth="1" width="8"/>
    <col min="12828" max="12828" customWidth="1" width="8"/>
    <col min="12829" max="12829" customWidth="1" width="8"/>
    <col min="12830" max="12830" customWidth="1" width="8"/>
    <col min="12831" max="12831" customWidth="1" width="8"/>
    <col min="12832" max="12832" customWidth="1" width="8"/>
    <col min="12833" max="12833" customWidth="1" width="8"/>
    <col min="12834" max="12834" customWidth="1" width="8"/>
    <col min="12835" max="12835" customWidth="1" width="8"/>
    <col min="12836" max="12836" customWidth="1" width="8"/>
    <col min="12837" max="12837" customWidth="1" width="8"/>
    <col min="12838" max="12838" customWidth="1" width="8"/>
    <col min="12839" max="12839" customWidth="1" width="8"/>
    <col min="12840" max="12840" customWidth="1" width="8"/>
    <col min="12841" max="12841" customWidth="1" width="8"/>
    <col min="12842" max="12842" customWidth="1" width="8"/>
    <col min="12843" max="12843" customWidth="1" width="8"/>
    <col min="12844" max="12844" customWidth="1" width="8"/>
    <col min="12845" max="12845" customWidth="1" width="8"/>
    <col min="12846" max="12846" customWidth="1" width="8"/>
    <col min="12847" max="12847" customWidth="1" width="8"/>
    <col min="12848" max="12848" customWidth="1" width="8"/>
    <col min="12849" max="12849" customWidth="1" width="8"/>
    <col min="12850" max="12850" customWidth="1" width="8"/>
    <col min="12851" max="12851" customWidth="1" width="8"/>
    <col min="12852" max="12852" customWidth="1" width="8"/>
    <col min="12853" max="12853" customWidth="1" width="8"/>
    <col min="12854" max="12854" customWidth="1" width="8"/>
    <col min="12855" max="12855" customWidth="1" width="8"/>
    <col min="12856" max="12856" customWidth="1" width="8"/>
    <col min="12857" max="12857" customWidth="1" width="8"/>
    <col min="12858" max="12858" customWidth="1" width="8"/>
    <col min="12859" max="12859" customWidth="1" width="8"/>
    <col min="12860" max="12860" customWidth="1" width="8"/>
    <col min="12861" max="12861" customWidth="1" width="8"/>
    <col min="12862" max="12862" customWidth="1" width="8"/>
    <col min="12863" max="12863" customWidth="1" width="8"/>
    <col min="12864" max="12864" customWidth="1" width="8"/>
    <col min="12865" max="12865" customWidth="1" width="8"/>
    <col min="12866" max="12866" customWidth="1" width="8"/>
    <col min="12867" max="12867" customWidth="1" width="8"/>
    <col min="12868" max="12868" customWidth="1" width="8"/>
    <col min="12869" max="12869" customWidth="1" width="8"/>
    <col min="12870" max="12870" customWidth="1" width="8"/>
    <col min="12871" max="12871" customWidth="1" width="8"/>
    <col min="12872" max="12872" customWidth="1" width="8"/>
    <col min="12873" max="12873" customWidth="1" width="8"/>
    <col min="12874" max="12874" customWidth="1" width="8"/>
    <col min="12875" max="12875" customWidth="1" width="8"/>
    <col min="12876" max="12876" customWidth="1" width="8"/>
    <col min="12877" max="12877" customWidth="1" width="8"/>
    <col min="12878" max="12878" customWidth="1" width="8"/>
    <col min="12879" max="12879" customWidth="1" width="8"/>
    <col min="12880" max="12880" customWidth="1" width="8"/>
    <col min="12881" max="12881" customWidth="1" width="8"/>
    <col min="12882" max="12882" customWidth="1" width="8"/>
    <col min="12883" max="12883" customWidth="1" width="8"/>
    <col min="12884" max="12884" customWidth="1" width="8"/>
    <col min="12885" max="12885" customWidth="1" width="8"/>
    <col min="12886" max="12886" customWidth="1" width="8"/>
    <col min="12887" max="12887" customWidth="1" width="8"/>
    <col min="12888" max="12888" customWidth="1" width="8"/>
    <col min="12889" max="12889" customWidth="1" width="8"/>
    <col min="12890" max="12890" customWidth="1" width="8"/>
    <col min="12891" max="12891" customWidth="1" width="8"/>
    <col min="12892" max="12892" customWidth="1" width="8"/>
    <col min="12893" max="12893" customWidth="1" width="8"/>
    <col min="12894" max="12894" customWidth="1" width="8"/>
    <col min="12895" max="12895" customWidth="1" width="8"/>
    <col min="12896" max="12896" customWidth="1" width="8"/>
    <col min="12897" max="12897" customWidth="1" width="8"/>
    <col min="12898" max="12898" customWidth="1" width="8"/>
    <col min="12899" max="12899" customWidth="1" width="8"/>
    <col min="12900" max="12900" customWidth="1" width="8"/>
    <col min="12901" max="12901" customWidth="1" width="8"/>
    <col min="12902" max="12902" customWidth="1" width="8"/>
    <col min="12903" max="12903" customWidth="1" width="8"/>
    <col min="12904" max="12904" customWidth="1" width="8"/>
    <col min="12905" max="12905" customWidth="1" width="8"/>
    <col min="12906" max="12906" customWidth="1" width="8"/>
    <col min="12907" max="12907" customWidth="1" width="8"/>
    <col min="12908" max="12908" customWidth="1" width="8"/>
    <col min="12909" max="12909" customWidth="1" width="8"/>
    <col min="12910" max="12910" customWidth="1" width="8"/>
    <col min="12911" max="12911" customWidth="1" width="8"/>
    <col min="12912" max="12912" customWidth="1" width="8"/>
    <col min="12913" max="12913" customWidth="1" width="8"/>
    <col min="12914" max="12914" customWidth="1" width="8"/>
    <col min="12915" max="12915" customWidth="1" width="8"/>
    <col min="12916" max="12916" customWidth="1" width="8"/>
    <col min="12917" max="12917" customWidth="1" width="8"/>
    <col min="12918" max="12918" customWidth="1" width="8"/>
    <col min="12919" max="12919" customWidth="1" width="8"/>
    <col min="12920" max="12920" customWidth="1" width="8"/>
    <col min="12921" max="12921" customWidth="1" width="8"/>
    <col min="12922" max="12922" customWidth="1" width="8"/>
    <col min="12923" max="12923" customWidth="1" width="8"/>
    <col min="12924" max="12924" customWidth="1" width="8"/>
    <col min="12925" max="12925" customWidth="1" width="8"/>
    <col min="12926" max="12926" customWidth="1" width="8"/>
    <col min="12927" max="12927" customWidth="1" width="8"/>
    <col min="12928" max="12928" customWidth="1" width="8"/>
    <col min="12929" max="12929" customWidth="1" width="8"/>
    <col min="12930" max="12930" customWidth="1" width="8"/>
    <col min="12931" max="12931" customWidth="1" width="8"/>
    <col min="12932" max="12932" customWidth="1" width="8"/>
    <col min="12933" max="12933" customWidth="1" width="8"/>
    <col min="12934" max="12934" customWidth="1" width="8"/>
    <col min="12935" max="12935" customWidth="1" width="8"/>
    <col min="12936" max="12936" customWidth="1" width="8"/>
    <col min="12937" max="12937" customWidth="1" width="8"/>
    <col min="12938" max="12938" customWidth="1" width="8"/>
    <col min="12939" max="12939" customWidth="1" width="8"/>
    <col min="12940" max="12940" customWidth="1" width="8"/>
    <col min="12941" max="12941" customWidth="1" width="8"/>
    <col min="12942" max="12942" customWidth="1" width="8"/>
    <col min="12943" max="12943" customWidth="1" width="8"/>
    <col min="12944" max="12944" customWidth="1" width="8"/>
    <col min="12945" max="12945" customWidth="1" width="8"/>
    <col min="12946" max="12946" customWidth="1" width="8"/>
    <col min="12947" max="12947" customWidth="1" width="8"/>
    <col min="12948" max="12948" customWidth="1" width="8"/>
    <col min="12949" max="12949" customWidth="1" width="8"/>
    <col min="12950" max="12950" customWidth="1" width="8"/>
    <col min="12951" max="12951" customWidth="1" width="8"/>
    <col min="12952" max="12952" customWidth="1" width="8"/>
    <col min="12953" max="12953" customWidth="1" width="8"/>
    <col min="12954" max="12954" customWidth="1" width="8"/>
    <col min="12955" max="12955" customWidth="1" width="8"/>
    <col min="12956" max="12956" customWidth="1" width="8"/>
    <col min="12957" max="12957" customWidth="1" width="8"/>
    <col min="12958" max="12958" customWidth="1" width="8"/>
    <col min="12959" max="12959" customWidth="1" width="8"/>
    <col min="12960" max="12960" customWidth="1" width="8"/>
    <col min="12961" max="12961" customWidth="1" width="8"/>
    <col min="12962" max="12962" customWidth="1" width="8"/>
    <col min="12963" max="12963" customWidth="1" width="8"/>
    <col min="12964" max="12964" customWidth="1" width="8"/>
    <col min="12965" max="12965" customWidth="1" width="8"/>
    <col min="12966" max="12966" customWidth="1" width="8"/>
    <col min="12967" max="12967" customWidth="1" width="8"/>
    <col min="12968" max="12968" customWidth="1" width="8"/>
    <col min="12969" max="12969" customWidth="1" width="8"/>
    <col min="12970" max="12970" customWidth="1" width="8"/>
    <col min="12971" max="12971" customWidth="1" width="8"/>
    <col min="12972" max="12972" customWidth="1" width="8"/>
    <col min="12973" max="12973" customWidth="1" width="8"/>
    <col min="12974" max="12974" customWidth="1" width="8"/>
    <col min="12975" max="12975" customWidth="1" width="8"/>
    <col min="12976" max="12976" customWidth="1" width="8"/>
    <col min="12977" max="12977" customWidth="1" width="8"/>
    <col min="12978" max="12978" customWidth="1" width="8"/>
    <col min="12979" max="12979" customWidth="1" width="8"/>
    <col min="12980" max="12980" customWidth="1" width="8"/>
    <col min="12981" max="12981" customWidth="1" width="8"/>
    <col min="12982" max="12982" customWidth="1" width="8"/>
    <col min="12983" max="12983" customWidth="1" width="8"/>
    <col min="12984" max="12984" customWidth="1" width="8"/>
    <col min="12985" max="12985" customWidth="1" width="8"/>
    <col min="12986" max="12986" customWidth="1" width="8"/>
    <col min="12987" max="12987" customWidth="1" width="8"/>
    <col min="12988" max="12988" customWidth="1" width="8"/>
    <col min="12989" max="12989" customWidth="1" width="8"/>
    <col min="12990" max="12990" customWidth="1" width="8"/>
    <col min="12991" max="12991" customWidth="1" width="8"/>
    <col min="12992" max="12992" customWidth="1" width="8"/>
    <col min="12993" max="12993" customWidth="1" width="8"/>
    <col min="12994" max="12994" customWidth="1" width="8"/>
    <col min="12995" max="12995" customWidth="1" width="8"/>
    <col min="12996" max="12996" customWidth="1" width="8"/>
    <col min="12997" max="12997" customWidth="1" width="8"/>
    <col min="12998" max="12998" customWidth="1" width="8"/>
    <col min="12999" max="12999" customWidth="1" width="8"/>
    <col min="13000" max="13000" customWidth="1" width="8"/>
    <col min="13001" max="13001" customWidth="1" width="8"/>
    <col min="13002" max="13002" customWidth="1" width="8"/>
    <col min="13003" max="13003" customWidth="1" width="8"/>
    <col min="13004" max="13004" customWidth="1" width="8"/>
    <col min="13005" max="13005" customWidth="1" width="8"/>
    <col min="13006" max="13006" customWidth="1" width="8"/>
    <col min="13007" max="13007" customWidth="1" width="8"/>
    <col min="13008" max="13008" customWidth="1" width="8"/>
    <col min="13009" max="13009" customWidth="1" width="8"/>
    <col min="13010" max="13010" customWidth="1" width="8"/>
    <col min="13011" max="13011" customWidth="1" width="8"/>
    <col min="13012" max="13012" customWidth="1" width="8"/>
    <col min="13013" max="13013" customWidth="1" width="8"/>
    <col min="13014" max="13014" customWidth="1" width="8"/>
    <col min="13015" max="13015" customWidth="1" width="8"/>
    <col min="13016" max="13016" customWidth="1" width="8"/>
    <col min="13017" max="13017" customWidth="1" width="8"/>
    <col min="13018" max="13018" customWidth="1" width="8"/>
    <col min="13019" max="13019" customWidth="1" width="8"/>
    <col min="13020" max="13020" customWidth="1" width="8"/>
    <col min="13021" max="13021" customWidth="1" width="8"/>
    <col min="13022" max="13022" customWidth="1" width="8"/>
    <col min="13023" max="13023" customWidth="1" width="8"/>
    <col min="13024" max="13024" customWidth="1" width="8"/>
    <col min="13025" max="13025" customWidth="1" width="8"/>
    <col min="13026" max="13026" customWidth="1" width="8"/>
    <col min="13027" max="13027" customWidth="1" width="8"/>
    <col min="13028" max="13028" customWidth="1" width="8"/>
    <col min="13029" max="13029" customWidth="1" width="8"/>
    <col min="13030" max="13030" customWidth="1" width="8"/>
    <col min="13031" max="13031" customWidth="1" width="8"/>
    <col min="13032" max="13032" customWidth="1" width="8"/>
    <col min="13033" max="13033" customWidth="1" width="8"/>
    <col min="13034" max="13034" customWidth="1" width="8"/>
    <col min="13035" max="13035" customWidth="1" width="8"/>
    <col min="13036" max="13036" customWidth="1" width="8"/>
    <col min="13037" max="13037" customWidth="1" width="8"/>
    <col min="13038" max="13038" customWidth="1" width="8"/>
    <col min="13039" max="13039" customWidth="1" width="8"/>
    <col min="13040" max="13040" customWidth="1" width="8"/>
    <col min="13041" max="13041" customWidth="1" width="8"/>
    <col min="13042" max="13042" customWidth="1" width="8"/>
    <col min="13043" max="13043" customWidth="1" width="8"/>
    <col min="13044" max="13044" customWidth="1" width="8"/>
    <col min="13045" max="13045" customWidth="1" width="8"/>
    <col min="13046" max="13046" customWidth="1" width="8"/>
    <col min="13047" max="13047" customWidth="1" width="8"/>
    <col min="13048" max="13048" customWidth="1" width="8"/>
    <col min="13049" max="13049" customWidth="1" width="8"/>
    <col min="13050" max="13050" customWidth="1" width="8"/>
    <col min="13051" max="13051" customWidth="1" width="8"/>
    <col min="13052" max="13052" customWidth="1" width="8"/>
    <col min="13053" max="13053" customWidth="1" width="8"/>
    <col min="13054" max="13054" customWidth="1" width="8"/>
    <col min="13055" max="13055" customWidth="1" width="8"/>
    <col min="13056" max="13056" customWidth="1" width="8"/>
    <col min="13057" max="13057" customWidth="1" width="8"/>
    <col min="13058" max="13058" customWidth="1" width="8"/>
    <col min="13059" max="13059" customWidth="1" width="8"/>
    <col min="13060" max="13060" customWidth="1" width="8"/>
    <col min="13061" max="13061" customWidth="1" width="8"/>
    <col min="13062" max="13062" customWidth="1" width="8"/>
    <col min="13063" max="13063" customWidth="1" width="8"/>
    <col min="13064" max="13064" customWidth="1" width="8"/>
    <col min="13065" max="13065" customWidth="1" width="8"/>
    <col min="13066" max="13066" customWidth="1" width="8"/>
    <col min="13067" max="13067" customWidth="1" width="8"/>
    <col min="13068" max="13068" customWidth="1" width="8"/>
    <col min="13069" max="13069" customWidth="1" width="8"/>
    <col min="13070" max="13070" customWidth="1" width="8"/>
    <col min="13071" max="13071" customWidth="1" width="8"/>
    <col min="13072" max="13072" customWidth="1" width="8"/>
    <col min="13073" max="13073" customWidth="1" width="8"/>
    <col min="13074" max="13074" customWidth="1" width="8"/>
    <col min="13075" max="13075" customWidth="1" width="8"/>
    <col min="13076" max="13076" customWidth="1" width="8"/>
    <col min="13077" max="13077" customWidth="1" width="8"/>
    <col min="13078" max="13078" customWidth="1" width="8"/>
    <col min="13079" max="13079" customWidth="1" width="8"/>
    <col min="13080" max="13080" customWidth="1" width="8"/>
    <col min="13081" max="13081" customWidth="1" width="8"/>
    <col min="13082" max="13082" customWidth="1" width="8"/>
    <col min="13083" max="13083" customWidth="1" width="8"/>
    <col min="13084" max="13084" customWidth="1" width="8"/>
    <col min="13085" max="13085" customWidth="1" width="8"/>
    <col min="13086" max="13086" customWidth="1" width="8"/>
    <col min="13087" max="13087" customWidth="1" width="8"/>
    <col min="13088" max="13088" customWidth="1" width="8"/>
    <col min="13089" max="13089" customWidth="1" width="8"/>
    <col min="13090" max="13090" customWidth="1" width="8"/>
    <col min="13091" max="13091" customWidth="1" width="8"/>
    <col min="13092" max="13092" customWidth="1" width="8"/>
    <col min="13093" max="13093" customWidth="1" width="8"/>
    <col min="13094" max="13094" customWidth="1" width="8"/>
    <col min="13095" max="13095" customWidth="1" width="8"/>
    <col min="13096" max="13096" customWidth="1" width="8"/>
    <col min="13097" max="13097" customWidth="1" width="8"/>
    <col min="13098" max="13098" customWidth="1" width="8"/>
    <col min="13099" max="13099" customWidth="1" width="8"/>
    <col min="13100" max="13100" customWidth="1" width="8"/>
    <col min="13101" max="13101" customWidth="1" width="8"/>
    <col min="13102" max="13102" customWidth="1" width="8"/>
    <col min="13103" max="13103" customWidth="1" width="8"/>
    <col min="13104" max="13104" customWidth="1" width="8"/>
    <col min="13105" max="13105" customWidth="1" width="8"/>
    <col min="13106" max="13106" customWidth="1" width="8"/>
    <col min="13107" max="13107" customWidth="1" width="8"/>
    <col min="13108" max="13108" customWidth="1" width="8"/>
    <col min="13109" max="13109" customWidth="1" width="8"/>
    <col min="13110" max="13110" customWidth="1" width="8"/>
    <col min="13111" max="13111" customWidth="1" width="8"/>
    <col min="13112" max="13112" customWidth="1" width="8"/>
    <col min="13113" max="13113" customWidth="1" width="8"/>
    <col min="13114" max="13114" customWidth="1" width="8"/>
    <col min="13115" max="13115" customWidth="1" width="8"/>
    <col min="13116" max="13116" customWidth="1" width="8"/>
    <col min="13117" max="13117" customWidth="1" width="8"/>
    <col min="13118" max="13118" customWidth="1" width="8"/>
    <col min="13119" max="13119" customWidth="1" width="8"/>
    <col min="13120" max="13120" customWidth="1" width="8"/>
    <col min="13121" max="13121" customWidth="1" width="8"/>
    <col min="13122" max="13122" customWidth="1" width="8"/>
    <col min="13123" max="13123" customWidth="1" width="8"/>
    <col min="13124" max="13124" customWidth="1" width="8"/>
    <col min="13125" max="13125" customWidth="1" width="8"/>
    <col min="13126" max="13126" customWidth="1" width="8"/>
    <col min="13127" max="13127" customWidth="1" width="8"/>
    <col min="13128" max="13128" customWidth="1" width="8"/>
    <col min="13129" max="13129" customWidth="1" width="8"/>
    <col min="13130" max="13130" customWidth="1" width="8"/>
    <col min="13131" max="13131" customWidth="1" width="8"/>
    <col min="13132" max="13132" customWidth="1" width="8"/>
    <col min="13133" max="13133" customWidth="1" width="8"/>
    <col min="13134" max="13134" customWidth="1" width="8"/>
    <col min="13135" max="13135" customWidth="1" width="8"/>
    <col min="13136" max="13136" customWidth="1" width="8"/>
    <col min="13137" max="13137" customWidth="1" width="8"/>
    <col min="13138" max="13138" customWidth="1" width="8"/>
    <col min="13139" max="13139" customWidth="1" width="8"/>
    <col min="13140" max="13140" customWidth="1" width="8"/>
    <col min="13141" max="13141" customWidth="1" width="8"/>
    <col min="13142" max="13142" customWidth="1" width="8"/>
    <col min="13143" max="13143" customWidth="1" width="8"/>
    <col min="13144" max="13144" customWidth="1" width="8"/>
    <col min="13145" max="13145" customWidth="1" width="8"/>
    <col min="13146" max="13146" customWidth="1" width="8"/>
    <col min="13147" max="13147" customWidth="1" width="8"/>
    <col min="13148" max="13148" customWidth="1" width="8"/>
    <col min="13149" max="13149" customWidth="1" width="8"/>
    <col min="13150" max="13150" customWidth="1" width="8"/>
    <col min="13151" max="13151" customWidth="1" width="8"/>
    <col min="13152" max="13152" customWidth="1" width="8"/>
    <col min="13153" max="13153" customWidth="1" width="8"/>
    <col min="13154" max="13154" customWidth="1" width="8"/>
    <col min="13155" max="13155" customWidth="1" width="8"/>
    <col min="13156" max="13156" customWidth="1" width="8"/>
    <col min="13157" max="13157" customWidth="1" width="8"/>
    <col min="13158" max="13158" customWidth="1" width="8"/>
    <col min="13159" max="13159" customWidth="1" width="8"/>
    <col min="13160" max="13160" customWidth="1" width="8"/>
    <col min="13161" max="13161" customWidth="1" width="8"/>
    <col min="13162" max="13162" customWidth="1" width="8"/>
    <col min="13163" max="13163" customWidth="1" width="8"/>
    <col min="13164" max="13164" customWidth="1" width="8"/>
    <col min="13165" max="13165" customWidth="1" width="8"/>
    <col min="13166" max="13166" customWidth="1" width="8"/>
    <col min="13167" max="13167" customWidth="1" width="8"/>
    <col min="13168" max="13168" customWidth="1" width="8"/>
    <col min="13169" max="13169" customWidth="1" width="8"/>
    <col min="13170" max="13170" customWidth="1" width="8"/>
    <col min="13171" max="13171" customWidth="1" width="8"/>
    <col min="13172" max="13172" customWidth="1" width="8"/>
    <col min="13173" max="13173" customWidth="1" width="8"/>
    <col min="13174" max="13174" customWidth="1" width="8"/>
    <col min="13175" max="13175" customWidth="1" width="8"/>
    <col min="13176" max="13176" customWidth="1" width="8"/>
    <col min="13177" max="13177" customWidth="1" width="8"/>
    <col min="13178" max="13178" customWidth="1" width="8"/>
    <col min="13179" max="13179" customWidth="1" width="8"/>
    <col min="13180" max="13180" customWidth="1" width="8"/>
    <col min="13181" max="13181" customWidth="1" width="8"/>
    <col min="13182" max="13182" customWidth="1" width="8"/>
    <col min="13183" max="13183" customWidth="1" width="8"/>
    <col min="13184" max="13184" customWidth="1" width="8"/>
    <col min="13185" max="13185" customWidth="1" width="8"/>
    <col min="13186" max="13186" customWidth="1" width="8"/>
    <col min="13187" max="13187" customWidth="1" width="8"/>
    <col min="13188" max="13188" customWidth="1" width="8"/>
    <col min="13189" max="13189" customWidth="1" width="8"/>
    <col min="13190" max="13190" customWidth="1" width="8"/>
    <col min="13191" max="13191" customWidth="1" width="8"/>
    <col min="13192" max="13192" customWidth="1" width="8"/>
    <col min="13193" max="13193" customWidth="1" width="8"/>
    <col min="13194" max="13194" customWidth="1" width="8"/>
    <col min="13195" max="13195" customWidth="1" width="8"/>
    <col min="13196" max="13196" customWidth="1" width="8"/>
    <col min="13197" max="13197" customWidth="1" width="8"/>
    <col min="13198" max="13198" customWidth="1" width="8"/>
    <col min="13199" max="13199" customWidth="1" width="8"/>
    <col min="13200" max="13200" customWidth="1" width="8"/>
    <col min="13201" max="13201" customWidth="1" width="8"/>
    <col min="13202" max="13202" customWidth="1" width="8"/>
    <col min="13203" max="13203" customWidth="1" width="8"/>
    <col min="13204" max="13204" customWidth="1" width="8"/>
    <col min="13205" max="13205" customWidth="1" width="8"/>
    <col min="13206" max="13206" customWidth="1" width="8"/>
    <col min="13207" max="13207" customWidth="1" width="8"/>
    <col min="13208" max="13208" customWidth="1" width="8"/>
    <col min="13209" max="13209" customWidth="1" width="8"/>
    <col min="13210" max="13210" customWidth="1" width="8"/>
    <col min="13211" max="13211" customWidth="1" width="8"/>
    <col min="13212" max="13212" customWidth="1" width="8"/>
    <col min="13213" max="13213" customWidth="1" width="8"/>
    <col min="13214" max="13214" customWidth="1" width="8"/>
    <col min="13215" max="13215" customWidth="1" width="8"/>
    <col min="13216" max="13216" customWidth="1" width="8"/>
    <col min="13217" max="13217" customWidth="1" width="8"/>
    <col min="13218" max="13218" customWidth="1" width="8"/>
    <col min="13219" max="13219" customWidth="1" width="8"/>
    <col min="13220" max="13220" customWidth="1" width="8"/>
    <col min="13221" max="13221" customWidth="1" width="8"/>
    <col min="13222" max="13222" customWidth="1" width="8"/>
    <col min="13223" max="13223" customWidth="1" width="8"/>
    <col min="13224" max="13224" customWidth="1" width="8"/>
    <col min="13225" max="13225" customWidth="1" width="8"/>
    <col min="13226" max="13226" customWidth="1" width="8"/>
    <col min="13227" max="13227" customWidth="1" width="8"/>
    <col min="13228" max="13228" customWidth="1" width="8"/>
    <col min="13229" max="13229" customWidth="1" width="8"/>
    <col min="13230" max="13230" customWidth="1" width="8"/>
    <col min="13231" max="13231" customWidth="1" width="8"/>
    <col min="13232" max="13232" customWidth="1" width="8"/>
    <col min="13233" max="13233" customWidth="1" width="8"/>
    <col min="13234" max="13234" customWidth="1" width="8"/>
    <col min="13235" max="13235" customWidth="1" width="8"/>
    <col min="13236" max="13236" customWidth="1" width="8"/>
    <col min="13237" max="13237" customWidth="1" width="8"/>
    <col min="13238" max="13238" customWidth="1" width="8"/>
    <col min="13239" max="13239" customWidth="1" width="8"/>
    <col min="13240" max="13240" customWidth="1" width="8"/>
    <col min="13241" max="13241" customWidth="1" width="8"/>
    <col min="13242" max="13242" customWidth="1" width="8"/>
    <col min="13243" max="13243" customWidth="1" width="8"/>
    <col min="13244" max="13244" customWidth="1" width="8"/>
    <col min="13245" max="13245" customWidth="1" width="8"/>
    <col min="13246" max="13246" customWidth="1" width="8"/>
    <col min="13247" max="13247" customWidth="1" width="8"/>
    <col min="13248" max="13248" customWidth="1" width="8"/>
    <col min="13249" max="13249" customWidth="1" width="8"/>
    <col min="13250" max="13250" customWidth="1" width="8"/>
    <col min="13251" max="13251" customWidth="1" width="8"/>
    <col min="13252" max="13252" customWidth="1" width="8"/>
    <col min="13253" max="13253" customWidth="1" width="8"/>
    <col min="13254" max="13254" customWidth="1" width="8"/>
    <col min="13255" max="13255" customWidth="1" width="8"/>
    <col min="13256" max="13256" customWidth="1" width="8"/>
    <col min="13257" max="13257" customWidth="1" width="8"/>
    <col min="13258" max="13258" customWidth="1" width="8"/>
    <col min="13259" max="13259" customWidth="1" width="8"/>
    <col min="13260" max="13260" customWidth="1" width="8"/>
    <col min="13261" max="13261" customWidth="1" width="8"/>
    <col min="13262" max="13262" customWidth="1" width="8"/>
    <col min="13263" max="13263" customWidth="1" width="8"/>
    <col min="13264" max="13264" customWidth="1" width="8"/>
    <col min="13265" max="13265" customWidth="1" width="8"/>
    <col min="13266" max="13266" customWidth="1" width="8"/>
    <col min="13267" max="13267" customWidth="1" width="8"/>
    <col min="13268" max="13268" customWidth="1" width="8"/>
    <col min="13269" max="13269" customWidth="1" width="8"/>
    <col min="13270" max="13270" customWidth="1" width="8"/>
    <col min="13271" max="13271" customWidth="1" width="8"/>
    <col min="13272" max="13272" customWidth="1" width="8"/>
    <col min="13273" max="13273" customWidth="1" width="8"/>
    <col min="13274" max="13274" customWidth="1" width="8"/>
    <col min="13275" max="13275" customWidth="1" width="8"/>
    <col min="13276" max="13276" customWidth="1" width="8"/>
    <col min="13277" max="13277" customWidth="1" width="8"/>
    <col min="13278" max="13278" customWidth="1" width="8"/>
    <col min="13279" max="13279" customWidth="1" width="8"/>
    <col min="13280" max="13280" customWidth="1" width="8"/>
    <col min="13281" max="13281" customWidth="1" width="8"/>
    <col min="13282" max="13282" customWidth="1" width="8"/>
    <col min="13283" max="13283" customWidth="1" width="8"/>
    <col min="13284" max="13284" customWidth="1" width="8"/>
    <col min="13285" max="13285" customWidth="1" width="8"/>
    <col min="13286" max="13286" customWidth="1" width="8"/>
    <col min="13287" max="13287" customWidth="1" width="8"/>
    <col min="13288" max="13288" customWidth="1" width="8"/>
    <col min="13289" max="13289" customWidth="1" width="8"/>
    <col min="13290" max="13290" customWidth="1" width="8"/>
    <col min="13291" max="13291" customWidth="1" width="8"/>
    <col min="13292" max="13292" customWidth="1" width="8"/>
    <col min="13293" max="13293" customWidth="1" width="8"/>
    <col min="13294" max="13294" customWidth="1" width="8"/>
    <col min="13295" max="13295" customWidth="1" width="8"/>
    <col min="13296" max="13296" customWidth="1" width="8"/>
    <col min="13297" max="13297" customWidth="1" width="8"/>
    <col min="13298" max="13298" customWidth="1" width="8"/>
    <col min="13299" max="13299" customWidth="1" width="8"/>
    <col min="13300" max="13300" customWidth="1" width="8"/>
    <col min="13301" max="13301" customWidth="1" width="8"/>
    <col min="13302" max="13302" customWidth="1" width="8"/>
    <col min="13303" max="13303" customWidth="1" width="8"/>
    <col min="13304" max="13304" customWidth="1" width="8"/>
    <col min="13305" max="13305" customWidth="1" width="8"/>
    <col min="13306" max="13306" customWidth="1" width="8"/>
    <col min="13307" max="13307" customWidth="1" width="8"/>
    <col min="13308" max="13308" customWidth="1" width="8"/>
    <col min="13309" max="13309" customWidth="1" width="8"/>
    <col min="13310" max="13310" customWidth="1" width="8"/>
    <col min="13311" max="13311" customWidth="1" width="8"/>
    <col min="13312" max="13312" customWidth="1" width="8"/>
    <col min="13313" max="13313" customWidth="1" width="8"/>
    <col min="13314" max="13314" customWidth="1" width="8"/>
    <col min="13315" max="13315" customWidth="1" width="8"/>
    <col min="13316" max="13316" customWidth="1" width="8"/>
    <col min="13317" max="13317" customWidth="1" width="8"/>
    <col min="13318" max="13318" customWidth="1" width="8"/>
    <col min="13319" max="13319" customWidth="1" width="8"/>
    <col min="13320" max="13320" customWidth="1" width="8"/>
    <col min="13321" max="13321" customWidth="1" width="8"/>
    <col min="13322" max="13322" customWidth="1" width="8"/>
    <col min="13323" max="13323" customWidth="1" width="8"/>
    <col min="13324" max="13324" customWidth="1" width="8"/>
    <col min="13325" max="13325" customWidth="1" width="8"/>
    <col min="13326" max="13326" customWidth="1" width="8"/>
    <col min="13327" max="13327" customWidth="1" width="8"/>
    <col min="13328" max="13328" customWidth="1" width="8"/>
    <col min="13329" max="13329" customWidth="1" width="8"/>
    <col min="13330" max="13330" customWidth="1" width="8"/>
    <col min="13331" max="13331" customWidth="1" width="8"/>
    <col min="13332" max="13332" customWidth="1" width="8"/>
    <col min="13333" max="13333" customWidth="1" width="8"/>
    <col min="13334" max="13334" customWidth="1" width="8"/>
    <col min="13335" max="13335" customWidth="1" width="8"/>
    <col min="13336" max="13336" customWidth="1" width="8"/>
    <col min="13337" max="13337" customWidth="1" width="8"/>
    <col min="13338" max="13338" customWidth="1" width="8"/>
    <col min="13339" max="13339" customWidth="1" width="8"/>
    <col min="13340" max="13340" customWidth="1" width="8"/>
    <col min="13341" max="13341" customWidth="1" width="8"/>
    <col min="13342" max="13342" customWidth="1" width="8"/>
    <col min="13343" max="13343" customWidth="1" width="8"/>
    <col min="13344" max="13344" customWidth="1" width="8"/>
    <col min="13345" max="13345" customWidth="1" width="8"/>
    <col min="13346" max="13346" customWidth="1" width="8"/>
    <col min="13347" max="13347" customWidth="1" width="8"/>
    <col min="13348" max="13348" customWidth="1" width="8"/>
    <col min="13349" max="13349" customWidth="1" width="8"/>
    <col min="13350" max="13350" customWidth="1" width="8"/>
    <col min="13351" max="13351" customWidth="1" width="8"/>
    <col min="13352" max="13352" customWidth="1" width="8"/>
    <col min="13353" max="13353" customWidth="1" width="8"/>
    <col min="13354" max="13354" customWidth="1" width="8"/>
    <col min="13355" max="13355" customWidth="1" width="8"/>
    <col min="13356" max="13356" customWidth="1" width="8"/>
    <col min="13357" max="13357" customWidth="1" width="8"/>
    <col min="13358" max="13358" customWidth="1" width="8"/>
    <col min="13359" max="13359" customWidth="1" width="8"/>
    <col min="13360" max="13360" customWidth="1" width="8"/>
    <col min="13361" max="13361" customWidth="1" width="8"/>
    <col min="13362" max="13362" customWidth="1" width="8"/>
    <col min="13363" max="13363" customWidth="1" width="8"/>
    <col min="13364" max="13364" customWidth="1" width="8"/>
    <col min="13365" max="13365" customWidth="1" width="8"/>
    <col min="13366" max="13366" customWidth="1" width="8"/>
    <col min="13367" max="13367" customWidth="1" width="8"/>
    <col min="13368" max="13368" customWidth="1" width="8"/>
    <col min="13369" max="13369" customWidth="1" width="8"/>
    <col min="13370" max="13370" customWidth="1" width="8"/>
    <col min="13371" max="13371" customWidth="1" width="8"/>
    <col min="13372" max="13372" customWidth="1" width="8"/>
    <col min="13373" max="13373" customWidth="1" width="8"/>
    <col min="13374" max="13374" customWidth="1" width="8"/>
    <col min="13375" max="13375" customWidth="1" width="8"/>
    <col min="13376" max="13376" customWidth="1" width="8"/>
    <col min="13377" max="13377" customWidth="1" width="8"/>
    <col min="13378" max="13378" customWidth="1" width="8"/>
    <col min="13379" max="13379" customWidth="1" width="8"/>
    <col min="13380" max="13380" customWidth="1" width="8"/>
    <col min="13381" max="13381" customWidth="1" width="8"/>
    <col min="13382" max="13382" customWidth="1" width="8"/>
    <col min="13383" max="13383" customWidth="1" width="8"/>
    <col min="13384" max="13384" customWidth="1" width="8"/>
    <col min="13385" max="13385" customWidth="1" width="8"/>
    <col min="13386" max="13386" customWidth="1" width="8"/>
    <col min="13387" max="13387" customWidth="1" width="8"/>
    <col min="13388" max="13388" customWidth="1" width="8"/>
    <col min="13389" max="13389" customWidth="1" width="8"/>
    <col min="13390" max="13390" customWidth="1" width="8"/>
    <col min="13391" max="13391" customWidth="1" width="8"/>
    <col min="13392" max="13392" customWidth="1" width="8"/>
    <col min="13393" max="13393" customWidth="1" width="8"/>
    <col min="13394" max="13394" customWidth="1" width="8"/>
    <col min="13395" max="13395" customWidth="1" width="8"/>
    <col min="13396" max="13396" customWidth="1" width="8"/>
    <col min="13397" max="13397" customWidth="1" width="8"/>
    <col min="13398" max="13398" customWidth="1" width="8"/>
    <col min="13399" max="13399" customWidth="1" width="8"/>
    <col min="13400" max="13400" customWidth="1" width="8"/>
    <col min="13401" max="13401" customWidth="1" width="8"/>
    <col min="13402" max="13402" customWidth="1" width="8"/>
    <col min="13403" max="13403" customWidth="1" width="8"/>
    <col min="13404" max="13404" customWidth="1" width="8"/>
    <col min="13405" max="13405" customWidth="1" width="8"/>
    <col min="13406" max="13406" customWidth="1" width="8"/>
    <col min="13407" max="13407" customWidth="1" width="8"/>
    <col min="13408" max="13408" customWidth="1" width="8"/>
    <col min="13409" max="13409" customWidth="1" width="8"/>
    <col min="13410" max="13410" customWidth="1" width="8"/>
    <col min="13411" max="13411" customWidth="1" width="8"/>
    <col min="13412" max="13412" customWidth="1" width="8"/>
    <col min="13413" max="13413" customWidth="1" width="8"/>
    <col min="13414" max="13414" customWidth="1" width="8"/>
    <col min="13415" max="13415" customWidth="1" width="8"/>
    <col min="13416" max="13416" customWidth="1" width="8"/>
    <col min="13417" max="13417" customWidth="1" width="8"/>
    <col min="13418" max="13418" customWidth="1" width="8"/>
    <col min="13419" max="13419" customWidth="1" width="8"/>
    <col min="13420" max="13420" customWidth="1" width="8"/>
    <col min="13421" max="13421" customWidth="1" width="8"/>
    <col min="13422" max="13422" customWidth="1" width="8"/>
    <col min="13423" max="13423" customWidth="1" width="8"/>
    <col min="13424" max="13424" customWidth="1" width="8"/>
    <col min="13425" max="13425" customWidth="1" width="8"/>
    <col min="13426" max="13426" customWidth="1" width="8"/>
    <col min="13427" max="13427" customWidth="1" width="8"/>
    <col min="13428" max="13428" customWidth="1" width="8"/>
    <col min="13429" max="13429" customWidth="1" width="8"/>
    <col min="13430" max="13430" customWidth="1" width="8"/>
    <col min="13431" max="13431" customWidth="1" width="8"/>
    <col min="13432" max="13432" customWidth="1" width="8"/>
    <col min="13433" max="13433" customWidth="1" width="8"/>
    <col min="13434" max="13434" customWidth="1" width="8"/>
    <col min="13435" max="13435" customWidth="1" width="8"/>
    <col min="13436" max="13436" customWidth="1" width="8"/>
    <col min="13437" max="13437" customWidth="1" width="8"/>
    <col min="13438" max="13438" customWidth="1" width="8"/>
    <col min="13439" max="13439" customWidth="1" width="8"/>
    <col min="13440" max="13440" customWidth="1" width="8"/>
    <col min="13441" max="13441" customWidth="1" width="8"/>
    <col min="13442" max="13442" customWidth="1" width="8"/>
    <col min="13443" max="13443" customWidth="1" width="8"/>
    <col min="13444" max="13444" customWidth="1" width="8"/>
    <col min="13445" max="13445" customWidth="1" width="8"/>
    <col min="13446" max="13446" customWidth="1" width="8"/>
    <col min="13447" max="13447" customWidth="1" width="8"/>
    <col min="13448" max="13448" customWidth="1" width="8"/>
    <col min="13449" max="13449" customWidth="1" width="8"/>
    <col min="13450" max="13450" customWidth="1" width="8"/>
    <col min="13451" max="13451" customWidth="1" width="8"/>
    <col min="13452" max="13452" customWidth="1" width="8"/>
    <col min="13453" max="13453" customWidth="1" width="8"/>
    <col min="13454" max="13454" customWidth="1" width="8"/>
    <col min="13455" max="13455" customWidth="1" width="8"/>
    <col min="13456" max="13456" customWidth="1" width="8"/>
    <col min="13457" max="13457" customWidth="1" width="8"/>
    <col min="13458" max="13458" customWidth="1" width="8"/>
    <col min="13459" max="13459" customWidth="1" width="8"/>
    <col min="13460" max="13460" customWidth="1" width="8"/>
    <col min="13461" max="13461" customWidth="1" width="8"/>
    <col min="13462" max="13462" customWidth="1" width="8"/>
    <col min="13463" max="13463" customWidth="1" width="8"/>
    <col min="13464" max="13464" customWidth="1" width="8"/>
    <col min="13465" max="13465" customWidth="1" width="8"/>
    <col min="13466" max="13466" customWidth="1" width="8"/>
    <col min="13467" max="13467" customWidth="1" width="8"/>
    <col min="13468" max="13468" customWidth="1" width="8"/>
    <col min="13469" max="13469" customWidth="1" width="8"/>
    <col min="13470" max="13470" customWidth="1" width="8"/>
    <col min="13471" max="13471" customWidth="1" width="8"/>
    <col min="13472" max="13472" customWidth="1" width="8"/>
    <col min="13473" max="13473" customWidth="1" width="8"/>
    <col min="13474" max="13474" customWidth="1" width="8"/>
    <col min="13475" max="13475" customWidth="1" width="8"/>
    <col min="13476" max="13476" customWidth="1" width="8"/>
    <col min="13477" max="13477" customWidth="1" width="8"/>
    <col min="13478" max="13478" customWidth="1" width="8"/>
    <col min="13479" max="13479" customWidth="1" width="8"/>
    <col min="13480" max="13480" customWidth="1" width="8"/>
    <col min="13481" max="13481" customWidth="1" width="8"/>
    <col min="13482" max="13482" customWidth="1" width="8"/>
    <col min="13483" max="13483" customWidth="1" width="8"/>
    <col min="13484" max="13484" customWidth="1" width="8"/>
    <col min="13485" max="13485" customWidth="1" width="8"/>
    <col min="13486" max="13486" customWidth="1" width="8"/>
    <col min="13487" max="13487" customWidth="1" width="8"/>
    <col min="13488" max="13488" customWidth="1" width="8"/>
    <col min="13489" max="13489" customWidth="1" width="8"/>
    <col min="13490" max="13490" customWidth="1" width="8"/>
    <col min="13491" max="13491" customWidth="1" width="8"/>
    <col min="13492" max="13492" customWidth="1" width="8"/>
    <col min="13493" max="13493" customWidth="1" width="8"/>
    <col min="13494" max="13494" customWidth="1" width="8"/>
    <col min="13495" max="13495" customWidth="1" width="8"/>
    <col min="13496" max="13496" customWidth="1" width="8"/>
    <col min="13497" max="13497" customWidth="1" width="8"/>
    <col min="13498" max="13498" customWidth="1" width="8"/>
    <col min="13499" max="13499" customWidth="1" width="8"/>
    <col min="13500" max="13500" customWidth="1" width="8"/>
    <col min="13501" max="13501" customWidth="1" width="8"/>
    <col min="13502" max="13502" customWidth="1" width="8"/>
    <col min="13503" max="13503" customWidth="1" width="8"/>
    <col min="13504" max="13504" customWidth="1" width="8"/>
    <col min="13505" max="13505" customWidth="1" width="8"/>
    <col min="13506" max="13506" customWidth="1" width="8"/>
    <col min="13507" max="13507" customWidth="1" width="8"/>
    <col min="13508" max="13508" customWidth="1" width="8"/>
    <col min="13509" max="13509" customWidth="1" width="8"/>
    <col min="13510" max="13510" customWidth="1" width="8"/>
    <col min="13511" max="13511" customWidth="1" width="8"/>
    <col min="13512" max="13512" customWidth="1" width="8"/>
    <col min="13513" max="13513" customWidth="1" width="8"/>
    <col min="13514" max="13514" customWidth="1" width="8"/>
    <col min="13515" max="13515" customWidth="1" width="8"/>
    <col min="13516" max="13516" customWidth="1" width="8"/>
    <col min="13517" max="13517" customWidth="1" width="8"/>
    <col min="13518" max="13518" customWidth="1" width="8"/>
    <col min="13519" max="13519" customWidth="1" width="8"/>
    <col min="13520" max="13520" customWidth="1" width="8"/>
    <col min="13521" max="13521" customWidth="1" width="8"/>
    <col min="13522" max="13522" customWidth="1" width="8"/>
    <col min="13523" max="13523" customWidth="1" width="8"/>
    <col min="13524" max="13524" customWidth="1" width="8"/>
    <col min="13525" max="13525" customWidth="1" width="8"/>
    <col min="13526" max="13526" customWidth="1" width="8"/>
    <col min="13527" max="13527" customWidth="1" width="8"/>
    <col min="13528" max="13528" customWidth="1" width="8"/>
    <col min="13529" max="13529" customWidth="1" width="8"/>
    <col min="13530" max="13530" customWidth="1" width="8"/>
    <col min="13531" max="13531" customWidth="1" width="8"/>
    <col min="13532" max="13532" customWidth="1" width="8"/>
    <col min="13533" max="13533" customWidth="1" width="8"/>
    <col min="13534" max="13534" customWidth="1" width="8"/>
    <col min="13535" max="13535" customWidth="1" width="8"/>
    <col min="13536" max="13536" customWidth="1" width="8"/>
    <col min="13537" max="13537" customWidth="1" width="8"/>
    <col min="13538" max="13538" customWidth="1" width="8"/>
    <col min="13539" max="13539" customWidth="1" width="8"/>
    <col min="13540" max="13540" customWidth="1" width="8"/>
    <col min="13541" max="13541" customWidth="1" width="8"/>
    <col min="13542" max="13542" customWidth="1" width="8"/>
    <col min="13543" max="13543" customWidth="1" width="8"/>
    <col min="13544" max="13544" customWidth="1" width="8"/>
    <col min="13545" max="13545" customWidth="1" width="8"/>
    <col min="13546" max="13546" customWidth="1" width="8"/>
    <col min="13547" max="13547" customWidth="1" width="8"/>
    <col min="13548" max="13548" customWidth="1" width="8"/>
    <col min="13549" max="13549" customWidth="1" width="8"/>
    <col min="13550" max="13550" customWidth="1" width="8"/>
    <col min="13551" max="13551" customWidth="1" width="8"/>
    <col min="13552" max="13552" customWidth="1" width="8"/>
    <col min="13553" max="13553" customWidth="1" width="8"/>
    <col min="13554" max="13554" customWidth="1" width="8"/>
    <col min="13555" max="13555" customWidth="1" width="8"/>
    <col min="13556" max="13556" customWidth="1" width="8"/>
    <col min="13557" max="13557" customWidth="1" width="8"/>
    <col min="13558" max="13558" customWidth="1" width="8"/>
    <col min="13559" max="13559" customWidth="1" width="8"/>
    <col min="13560" max="13560" customWidth="1" width="8"/>
    <col min="13561" max="13561" customWidth="1" width="8"/>
    <col min="13562" max="13562" customWidth="1" width="8"/>
    <col min="13563" max="13563" customWidth="1" width="8"/>
    <col min="13564" max="13564" customWidth="1" width="8"/>
    <col min="13565" max="13565" customWidth="1" width="8"/>
    <col min="13566" max="13566" customWidth="1" width="8"/>
    <col min="13567" max="13567" customWidth="1" width="8"/>
    <col min="13568" max="13568" customWidth="1" width="8"/>
    <col min="13569" max="13569" customWidth="1" width="8"/>
    <col min="13570" max="13570" customWidth="1" width="8"/>
    <col min="13571" max="13571" customWidth="1" width="8"/>
    <col min="13572" max="13572" customWidth="1" width="8"/>
    <col min="13573" max="13573" customWidth="1" width="8"/>
    <col min="13574" max="13574" customWidth="1" width="8"/>
    <col min="13575" max="13575" customWidth="1" width="8"/>
    <col min="13576" max="13576" customWidth="1" width="8"/>
    <col min="13577" max="13577" customWidth="1" width="8"/>
    <col min="13578" max="13578" customWidth="1" width="8"/>
    <col min="13579" max="13579" customWidth="1" width="8"/>
    <col min="13580" max="13580" customWidth="1" width="8"/>
    <col min="13581" max="13581" customWidth="1" width="8"/>
    <col min="13582" max="13582" customWidth="1" width="8"/>
    <col min="13583" max="13583" customWidth="1" width="8"/>
    <col min="13584" max="13584" customWidth="1" width="8"/>
    <col min="13585" max="13585" customWidth="1" width="8"/>
    <col min="13586" max="13586" customWidth="1" width="8"/>
    <col min="13587" max="13587" customWidth="1" width="8"/>
    <col min="13588" max="13588" customWidth="1" width="8"/>
    <col min="13589" max="13589" customWidth="1" width="8"/>
    <col min="13590" max="13590" customWidth="1" width="8"/>
    <col min="13591" max="13591" customWidth="1" width="8"/>
    <col min="13592" max="13592" customWidth="1" width="8"/>
    <col min="13593" max="13593" customWidth="1" width="8"/>
    <col min="13594" max="13594" customWidth="1" width="8"/>
    <col min="13595" max="13595" customWidth="1" width="8"/>
    <col min="13596" max="13596" customWidth="1" width="8"/>
    <col min="13597" max="13597" customWidth="1" width="8"/>
    <col min="13598" max="13598" customWidth="1" width="8"/>
    <col min="13599" max="13599" customWidth="1" width="8"/>
    <col min="13600" max="13600" customWidth="1" width="8"/>
    <col min="13601" max="13601" customWidth="1" width="8"/>
    <col min="13602" max="13602" customWidth="1" width="8"/>
    <col min="13603" max="13603" customWidth="1" width="8"/>
    <col min="13604" max="13604" customWidth="1" width="8"/>
    <col min="13605" max="13605" customWidth="1" width="8"/>
    <col min="13606" max="13606" customWidth="1" width="8"/>
    <col min="13607" max="13607" customWidth="1" width="8"/>
    <col min="13608" max="13608" customWidth="1" width="8"/>
    <col min="13609" max="13609" customWidth="1" width="8"/>
    <col min="13610" max="13610" customWidth="1" width="8"/>
    <col min="13611" max="13611" customWidth="1" width="8"/>
    <col min="13612" max="13612" customWidth="1" width="8"/>
    <col min="13613" max="13613" customWidth="1" width="8"/>
    <col min="13614" max="13614" customWidth="1" width="8"/>
    <col min="13615" max="13615" customWidth="1" width="8"/>
    <col min="13616" max="13616" customWidth="1" width="8"/>
    <col min="13617" max="13617" customWidth="1" width="8"/>
    <col min="13618" max="13618" customWidth="1" width="8"/>
    <col min="13619" max="13619" customWidth="1" width="8"/>
    <col min="13620" max="13620" customWidth="1" width="8"/>
    <col min="13621" max="13621" customWidth="1" width="8"/>
    <col min="13622" max="13622" customWidth="1" width="8"/>
    <col min="13623" max="13623" customWidth="1" width="8"/>
    <col min="13624" max="13624" customWidth="1" width="8"/>
    <col min="13625" max="13625" customWidth="1" width="8"/>
    <col min="13626" max="13626" customWidth="1" width="8"/>
    <col min="13627" max="13627" customWidth="1" width="8"/>
    <col min="13628" max="13628" customWidth="1" width="8"/>
    <col min="13629" max="13629" customWidth="1" width="8"/>
    <col min="13630" max="13630" customWidth="1" width="8"/>
    <col min="13631" max="13631" customWidth="1" width="8"/>
    <col min="13632" max="13632" customWidth="1" width="8"/>
    <col min="13633" max="13633" customWidth="1" width="8"/>
    <col min="13634" max="13634" customWidth="1" width="8"/>
    <col min="13635" max="13635" customWidth="1" width="8"/>
    <col min="13636" max="13636" customWidth="1" width="8"/>
    <col min="13637" max="13637" customWidth="1" width="8"/>
    <col min="13638" max="13638" customWidth="1" width="8"/>
    <col min="13639" max="13639" customWidth="1" width="8"/>
    <col min="13640" max="13640" customWidth="1" width="8"/>
    <col min="13641" max="13641" customWidth="1" width="8"/>
    <col min="13642" max="13642" customWidth="1" width="8"/>
    <col min="13643" max="13643" customWidth="1" width="8"/>
    <col min="13644" max="13644" customWidth="1" width="8"/>
    <col min="13645" max="13645" customWidth="1" width="8"/>
    <col min="13646" max="13646" customWidth="1" width="8"/>
    <col min="13647" max="13647" customWidth="1" width="8"/>
    <col min="13648" max="13648" customWidth="1" width="8"/>
    <col min="13649" max="13649" customWidth="1" width="8"/>
    <col min="13650" max="13650" customWidth="1" width="8"/>
    <col min="13651" max="13651" customWidth="1" width="8"/>
    <col min="13652" max="13652" customWidth="1" width="8"/>
    <col min="13653" max="13653" customWidth="1" width="8"/>
    <col min="13654" max="13654" customWidth="1" width="8"/>
    <col min="13655" max="13655" customWidth="1" width="8"/>
    <col min="13656" max="13656" customWidth="1" width="8"/>
    <col min="13657" max="13657" customWidth="1" width="8"/>
    <col min="13658" max="13658" customWidth="1" width="8"/>
    <col min="13659" max="13659" customWidth="1" width="8"/>
    <col min="13660" max="13660" customWidth="1" width="8"/>
    <col min="13661" max="13661" customWidth="1" width="8"/>
    <col min="13662" max="13662" customWidth="1" width="8"/>
    <col min="13663" max="13663" customWidth="1" width="8"/>
    <col min="13664" max="13664" customWidth="1" width="8"/>
    <col min="13665" max="13665" customWidth="1" width="8"/>
    <col min="13666" max="13666" customWidth="1" width="8"/>
    <col min="13667" max="13667" customWidth="1" width="8"/>
    <col min="13668" max="13668" customWidth="1" width="8"/>
    <col min="13669" max="13669" customWidth="1" width="8"/>
    <col min="13670" max="13670" customWidth="1" width="8"/>
    <col min="13671" max="13671" customWidth="1" width="8"/>
    <col min="13672" max="13672" customWidth="1" width="8"/>
    <col min="13673" max="13673" customWidth="1" width="8"/>
    <col min="13674" max="13674" customWidth="1" width="8"/>
    <col min="13675" max="13675" customWidth="1" width="8"/>
    <col min="13676" max="13676" customWidth="1" width="8"/>
    <col min="13677" max="13677" customWidth="1" width="8"/>
    <col min="13678" max="13678" customWidth="1" width="8"/>
    <col min="13679" max="13679" customWidth="1" width="8"/>
    <col min="13680" max="13680" customWidth="1" width="8"/>
    <col min="13681" max="13681" customWidth="1" width="8"/>
    <col min="13682" max="13682" customWidth="1" width="8"/>
    <col min="13683" max="13683" customWidth="1" width="8"/>
    <col min="13684" max="13684" customWidth="1" width="8"/>
    <col min="13685" max="13685" customWidth="1" width="8"/>
    <col min="13686" max="13686" customWidth="1" width="8"/>
    <col min="13687" max="13687" customWidth="1" width="8"/>
    <col min="13688" max="13688" customWidth="1" width="8"/>
    <col min="13689" max="13689" customWidth="1" width="8"/>
    <col min="13690" max="13690" customWidth="1" width="8"/>
    <col min="13691" max="13691" customWidth="1" width="8"/>
    <col min="13692" max="13692" customWidth="1" width="8"/>
    <col min="13693" max="13693" customWidth="1" width="8"/>
    <col min="13694" max="13694" customWidth="1" width="8"/>
    <col min="13695" max="13695" customWidth="1" width="8"/>
    <col min="13696" max="13696" customWidth="1" width="8"/>
    <col min="13697" max="13697" customWidth="1" width="8"/>
    <col min="13698" max="13698" customWidth="1" width="8"/>
    <col min="13699" max="13699" customWidth="1" width="8"/>
    <col min="13700" max="13700" customWidth="1" width="8"/>
    <col min="13701" max="13701" customWidth="1" width="8"/>
    <col min="13702" max="13702" customWidth="1" width="8"/>
    <col min="13703" max="13703" customWidth="1" width="8"/>
    <col min="13704" max="13704" customWidth="1" width="8"/>
    <col min="13705" max="13705" customWidth="1" width="8"/>
    <col min="13706" max="13706" customWidth="1" width="8"/>
    <col min="13707" max="13707" customWidth="1" width="8"/>
    <col min="13708" max="13708" customWidth="1" width="8"/>
    <col min="13709" max="13709" customWidth="1" width="8"/>
    <col min="13710" max="13710" customWidth="1" width="8"/>
    <col min="13711" max="13711" customWidth="1" width="8"/>
    <col min="13712" max="13712" customWidth="1" width="8"/>
    <col min="13713" max="13713" customWidth="1" width="8"/>
    <col min="13714" max="13714" customWidth="1" width="8"/>
    <col min="13715" max="13715" customWidth="1" width="8"/>
    <col min="13716" max="13716" customWidth="1" width="8"/>
    <col min="13717" max="13717" customWidth="1" width="8"/>
    <col min="13718" max="13718" customWidth="1" width="8"/>
    <col min="13719" max="13719" customWidth="1" width="8"/>
    <col min="13720" max="13720" customWidth="1" width="8"/>
    <col min="13721" max="13721" customWidth="1" width="8"/>
    <col min="13722" max="13722" customWidth="1" width="8"/>
    <col min="13723" max="13723" customWidth="1" width="8"/>
    <col min="13724" max="13724" customWidth="1" width="8"/>
    <col min="13725" max="13725" customWidth="1" width="8"/>
    <col min="13726" max="13726" customWidth="1" width="8"/>
    <col min="13727" max="13727" customWidth="1" width="8"/>
    <col min="13728" max="13728" customWidth="1" width="8"/>
    <col min="13729" max="13729" customWidth="1" width="8"/>
    <col min="13730" max="13730" customWidth="1" width="8"/>
    <col min="13731" max="13731" customWidth="1" width="8"/>
    <col min="13732" max="13732" customWidth="1" width="8"/>
    <col min="13733" max="13733" customWidth="1" width="8"/>
    <col min="13734" max="13734" customWidth="1" width="8"/>
    <col min="13735" max="13735" customWidth="1" width="8"/>
    <col min="13736" max="13736" customWidth="1" width="8"/>
    <col min="13737" max="13737" customWidth="1" width="8"/>
    <col min="13738" max="13738" customWidth="1" width="8"/>
    <col min="13739" max="13739" customWidth="1" width="8"/>
    <col min="13740" max="13740" customWidth="1" width="8"/>
    <col min="13741" max="13741" customWidth="1" width="8"/>
    <col min="13742" max="13742" customWidth="1" width="8"/>
    <col min="13743" max="13743" customWidth="1" width="8"/>
    <col min="13744" max="13744" customWidth="1" width="8"/>
    <col min="13745" max="13745" customWidth="1" width="8"/>
    <col min="13746" max="13746" customWidth="1" width="8"/>
    <col min="13747" max="13747" customWidth="1" width="8"/>
    <col min="13748" max="13748" customWidth="1" width="8"/>
    <col min="13749" max="13749" customWidth="1" width="8"/>
    <col min="13750" max="13750" customWidth="1" width="8"/>
    <col min="13751" max="13751" customWidth="1" width="8"/>
    <col min="13752" max="13752" customWidth="1" width="8"/>
    <col min="13753" max="13753" customWidth="1" width="8"/>
    <col min="13754" max="13754" customWidth="1" width="8"/>
    <col min="13755" max="13755" customWidth="1" width="8"/>
    <col min="13756" max="13756" customWidth="1" width="8"/>
    <col min="13757" max="13757" customWidth="1" width="8"/>
    <col min="13758" max="13758" customWidth="1" width="8"/>
    <col min="13759" max="13759" customWidth="1" width="8"/>
    <col min="13760" max="13760" customWidth="1" width="8"/>
    <col min="13761" max="13761" customWidth="1" width="8"/>
    <col min="13762" max="13762" customWidth="1" width="8"/>
    <col min="13763" max="13763" customWidth="1" width="8"/>
    <col min="13764" max="13764" customWidth="1" width="8"/>
    <col min="13765" max="13765" customWidth="1" width="8"/>
    <col min="13766" max="13766" customWidth="1" width="8"/>
    <col min="13767" max="13767" customWidth="1" width="8"/>
    <col min="13768" max="13768" customWidth="1" width="8"/>
    <col min="13769" max="13769" customWidth="1" width="8"/>
    <col min="13770" max="13770" customWidth="1" width="8"/>
    <col min="13771" max="13771" customWidth="1" width="8"/>
    <col min="13772" max="13772" customWidth="1" width="8"/>
    <col min="13773" max="13773" customWidth="1" width="8"/>
    <col min="13774" max="13774" customWidth="1" width="8"/>
    <col min="13775" max="13775" customWidth="1" width="8"/>
    <col min="13776" max="13776" customWidth="1" width="8"/>
    <col min="13777" max="13777" customWidth="1" width="8"/>
    <col min="13778" max="13778" customWidth="1" width="8"/>
    <col min="13779" max="13779" customWidth="1" width="8"/>
    <col min="13780" max="13780" customWidth="1" width="8"/>
    <col min="13781" max="13781" customWidth="1" width="8"/>
    <col min="13782" max="13782" customWidth="1" width="8"/>
    <col min="13783" max="13783" customWidth="1" width="8"/>
    <col min="13784" max="13784" customWidth="1" width="8"/>
    <col min="13785" max="13785" customWidth="1" width="8"/>
    <col min="13786" max="13786" customWidth="1" width="8"/>
    <col min="13787" max="13787" customWidth="1" width="8"/>
    <col min="13788" max="13788" customWidth="1" width="8"/>
    <col min="13789" max="13789" customWidth="1" width="8"/>
    <col min="13790" max="13790" customWidth="1" width="8"/>
    <col min="13791" max="13791" customWidth="1" width="8"/>
    <col min="13792" max="13792" customWidth="1" width="8"/>
    <col min="13793" max="13793" customWidth="1" width="8"/>
    <col min="13794" max="13794" customWidth="1" width="8"/>
    <col min="13795" max="13795" customWidth="1" width="8"/>
    <col min="13796" max="13796" customWidth="1" width="8"/>
    <col min="13797" max="13797" customWidth="1" width="8"/>
    <col min="13798" max="13798" customWidth="1" width="8"/>
    <col min="13799" max="13799" customWidth="1" width="8"/>
    <col min="13800" max="13800" customWidth="1" width="8"/>
    <col min="13801" max="13801" customWidth="1" width="8"/>
    <col min="13802" max="13802" customWidth="1" width="8"/>
    <col min="13803" max="13803" customWidth="1" width="8"/>
    <col min="13804" max="13804" customWidth="1" width="8"/>
    <col min="13805" max="13805" customWidth="1" width="8"/>
    <col min="13806" max="13806" customWidth="1" width="8"/>
    <col min="13807" max="13807" customWidth="1" width="8"/>
    <col min="13808" max="13808" customWidth="1" width="8"/>
    <col min="13809" max="13809" customWidth="1" width="8"/>
    <col min="13810" max="13810" customWidth="1" width="8"/>
    <col min="13811" max="13811" customWidth="1" width="8"/>
    <col min="13812" max="13812" customWidth="1" width="8"/>
    <col min="13813" max="13813" customWidth="1" width="8"/>
    <col min="13814" max="13814" customWidth="1" width="8"/>
    <col min="13815" max="13815" customWidth="1" width="8"/>
    <col min="13816" max="13816" customWidth="1" width="8"/>
    <col min="13817" max="13817" customWidth="1" width="8"/>
    <col min="13818" max="13818" customWidth="1" width="8"/>
    <col min="13819" max="13819" customWidth="1" width="8"/>
    <col min="13820" max="13820" customWidth="1" width="8"/>
    <col min="13821" max="13821" customWidth="1" width="8"/>
    <col min="13822" max="13822" customWidth="1" width="8"/>
    <col min="13823" max="13823" customWidth="1" width="8"/>
    <col min="13824" max="13824" customWidth="1" width="8"/>
    <col min="13825" max="13825" customWidth="1" width="8"/>
    <col min="13826" max="13826" customWidth="1" width="8"/>
    <col min="13827" max="13827" customWidth="1" width="8"/>
    <col min="13828" max="13828" customWidth="1" width="8"/>
    <col min="13829" max="13829" customWidth="1" width="8"/>
    <col min="13830" max="13830" customWidth="1" width="8"/>
    <col min="13831" max="13831" customWidth="1" width="8"/>
    <col min="13832" max="13832" customWidth="1" width="8"/>
    <col min="13833" max="13833" customWidth="1" width="8"/>
    <col min="13834" max="13834" customWidth="1" width="8"/>
    <col min="13835" max="13835" customWidth="1" width="8"/>
    <col min="13836" max="13836" customWidth="1" width="8"/>
    <col min="13837" max="13837" customWidth="1" width="8"/>
    <col min="13838" max="13838" customWidth="1" width="8"/>
    <col min="13839" max="13839" customWidth="1" width="8"/>
    <col min="13840" max="13840" customWidth="1" width="8"/>
    <col min="13841" max="13841" customWidth="1" width="8"/>
    <col min="13842" max="13842" customWidth="1" width="8"/>
    <col min="13843" max="13843" customWidth="1" width="8"/>
    <col min="13844" max="13844" customWidth="1" width="8"/>
    <col min="13845" max="13845" customWidth="1" width="8"/>
    <col min="13846" max="13846" customWidth="1" width="8"/>
    <col min="13847" max="13847" customWidth="1" width="8"/>
    <col min="13848" max="13848" customWidth="1" width="8"/>
    <col min="13849" max="13849" customWidth="1" width="8"/>
    <col min="13850" max="13850" customWidth="1" width="8"/>
    <col min="13851" max="13851" customWidth="1" width="8"/>
    <col min="13852" max="13852" customWidth="1" width="8"/>
    <col min="13853" max="13853" customWidth="1" width="8"/>
    <col min="13854" max="13854" customWidth="1" width="8"/>
    <col min="13855" max="13855" customWidth="1" width="8"/>
    <col min="13856" max="13856" customWidth="1" width="8"/>
    <col min="13857" max="13857" customWidth="1" width="8"/>
    <col min="13858" max="13858" customWidth="1" width="8"/>
    <col min="13859" max="13859" customWidth="1" width="8"/>
    <col min="13860" max="13860" customWidth="1" width="8"/>
    <col min="13861" max="13861" customWidth="1" width="8"/>
    <col min="13862" max="13862" customWidth="1" width="8"/>
    <col min="13863" max="13863" customWidth="1" width="8"/>
    <col min="13864" max="13864" customWidth="1" width="8"/>
    <col min="13865" max="13865" customWidth="1" width="8"/>
    <col min="13866" max="13866" customWidth="1" width="8"/>
    <col min="13867" max="13867" customWidth="1" width="8"/>
    <col min="13868" max="13868" customWidth="1" width="8"/>
    <col min="13869" max="13869" customWidth="1" width="8"/>
    <col min="13870" max="13870" customWidth="1" width="8"/>
    <col min="13871" max="13871" customWidth="1" width="8"/>
    <col min="13872" max="13872" customWidth="1" width="8"/>
    <col min="13873" max="13873" customWidth="1" width="8"/>
    <col min="13874" max="13874" customWidth="1" width="8"/>
    <col min="13875" max="13875" customWidth="1" width="8"/>
    <col min="13876" max="13876" customWidth="1" width="8"/>
    <col min="13877" max="13877" customWidth="1" width="8"/>
    <col min="13878" max="13878" customWidth="1" width="8"/>
    <col min="13879" max="13879" customWidth="1" width="8"/>
    <col min="13880" max="13880" customWidth="1" width="8"/>
    <col min="13881" max="13881" customWidth="1" width="8"/>
    <col min="13882" max="13882" customWidth="1" width="8"/>
    <col min="13883" max="13883" customWidth="1" width="8"/>
    <col min="13884" max="13884" customWidth="1" width="8"/>
    <col min="13885" max="13885" customWidth="1" width="8"/>
    <col min="13886" max="13886" customWidth="1" width="8"/>
    <col min="13887" max="13887" customWidth="1" width="8"/>
    <col min="13888" max="13888" customWidth="1" width="8"/>
    <col min="13889" max="13889" customWidth="1" width="8"/>
    <col min="13890" max="13890" customWidth="1" width="8"/>
    <col min="13891" max="13891" customWidth="1" width="8"/>
    <col min="13892" max="13892" customWidth="1" width="8"/>
    <col min="13893" max="13893" customWidth="1" width="8"/>
    <col min="13894" max="13894" customWidth="1" width="8"/>
    <col min="13895" max="13895" customWidth="1" width="8"/>
    <col min="13896" max="13896" customWidth="1" width="8"/>
    <col min="13897" max="13897" customWidth="1" width="8"/>
    <col min="13898" max="13898" customWidth="1" width="8"/>
    <col min="13899" max="13899" customWidth="1" width="8"/>
    <col min="13900" max="13900" customWidth="1" width="8"/>
    <col min="13901" max="13901" customWidth="1" width="8"/>
    <col min="13902" max="13902" customWidth="1" width="8"/>
    <col min="13903" max="13903" customWidth="1" width="8"/>
    <col min="13904" max="13904" customWidth="1" width="8"/>
    <col min="13905" max="13905" customWidth="1" width="8"/>
    <col min="13906" max="13906" customWidth="1" width="8"/>
    <col min="13907" max="13907" customWidth="1" width="8"/>
    <col min="13908" max="13908" customWidth="1" width="8"/>
    <col min="13909" max="13909" customWidth="1" width="8"/>
    <col min="13910" max="13910" customWidth="1" width="8"/>
    <col min="13911" max="13911" customWidth="1" width="8"/>
    <col min="13912" max="13912" customWidth="1" width="8"/>
    <col min="13913" max="13913" customWidth="1" width="8"/>
    <col min="13914" max="13914" customWidth="1" width="8"/>
    <col min="13915" max="13915" customWidth="1" width="8"/>
    <col min="13916" max="13916" customWidth="1" width="8"/>
    <col min="13917" max="13917" customWidth="1" width="8"/>
    <col min="13918" max="13918" customWidth="1" width="8"/>
    <col min="13919" max="13919" customWidth="1" width="8"/>
    <col min="13920" max="13920" customWidth="1" width="8"/>
    <col min="13921" max="13921" customWidth="1" width="8"/>
    <col min="13922" max="13922" customWidth="1" width="8"/>
    <col min="13923" max="13923" customWidth="1" width="8"/>
    <col min="13924" max="13924" customWidth="1" width="8"/>
    <col min="13925" max="13925" customWidth="1" width="8"/>
    <col min="13926" max="13926" customWidth="1" width="8"/>
    <col min="13927" max="13927" customWidth="1" width="8"/>
    <col min="13928" max="13928" customWidth="1" width="8"/>
    <col min="13929" max="13929" customWidth="1" width="8"/>
    <col min="13930" max="13930" customWidth="1" width="8"/>
    <col min="13931" max="13931" customWidth="1" width="8"/>
    <col min="13932" max="13932" customWidth="1" width="8"/>
    <col min="13933" max="13933" customWidth="1" width="8"/>
    <col min="13934" max="13934" customWidth="1" width="8"/>
    <col min="13935" max="13935" customWidth="1" width="8"/>
    <col min="13936" max="13936" customWidth="1" width="8"/>
    <col min="13937" max="13937" customWidth="1" width="8"/>
    <col min="13938" max="13938" customWidth="1" width="8"/>
    <col min="13939" max="13939" customWidth="1" width="8"/>
    <col min="13940" max="13940" customWidth="1" width="8"/>
    <col min="13941" max="13941" customWidth="1" width="8"/>
    <col min="13942" max="13942" customWidth="1" width="8"/>
    <col min="13943" max="13943" customWidth="1" width="8"/>
    <col min="13944" max="13944" customWidth="1" width="8"/>
    <col min="13945" max="13945" customWidth="1" width="8"/>
    <col min="13946" max="13946" customWidth="1" width="8"/>
    <col min="13947" max="13947" customWidth="1" width="8"/>
    <col min="13948" max="13948" customWidth="1" width="8"/>
    <col min="13949" max="13949" customWidth="1" width="8"/>
    <col min="13950" max="13950" customWidth="1" width="8"/>
    <col min="13951" max="13951" customWidth="1" width="8"/>
    <col min="13952" max="13952" customWidth="1" width="8"/>
    <col min="13953" max="13953" customWidth="1" width="8"/>
    <col min="13954" max="13954" customWidth="1" width="8"/>
    <col min="13955" max="13955" customWidth="1" width="8"/>
    <col min="13956" max="13956" customWidth="1" width="8"/>
    <col min="13957" max="13957" customWidth="1" width="8"/>
    <col min="13958" max="13958" customWidth="1" width="8"/>
    <col min="13959" max="13959" customWidth="1" width="8"/>
    <col min="13960" max="13960" customWidth="1" width="8"/>
    <col min="13961" max="13961" customWidth="1" width="8"/>
    <col min="13962" max="13962" customWidth="1" width="8"/>
    <col min="13963" max="13963" customWidth="1" width="8"/>
    <col min="13964" max="13964" customWidth="1" width="8"/>
    <col min="13965" max="13965" customWidth="1" width="8"/>
    <col min="13966" max="13966" customWidth="1" width="8"/>
    <col min="13967" max="13967" customWidth="1" width="8"/>
    <col min="13968" max="13968" customWidth="1" width="8"/>
    <col min="13969" max="13969" customWidth="1" width="8"/>
    <col min="13970" max="13970" customWidth="1" width="8"/>
    <col min="13971" max="13971" customWidth="1" width="8"/>
    <col min="13972" max="13972" customWidth="1" width="8"/>
    <col min="13973" max="13973" customWidth="1" width="8"/>
    <col min="13974" max="13974" customWidth="1" width="8"/>
    <col min="13975" max="13975" customWidth="1" width="8"/>
    <col min="13976" max="13976" customWidth="1" width="8"/>
    <col min="13977" max="13977" customWidth="1" width="8"/>
    <col min="13978" max="13978" customWidth="1" width="8"/>
    <col min="13979" max="13979" customWidth="1" width="8"/>
    <col min="13980" max="13980" customWidth="1" width="8"/>
    <col min="13981" max="13981" customWidth="1" width="8"/>
    <col min="13982" max="13982" customWidth="1" width="8"/>
    <col min="13983" max="13983" customWidth="1" width="8"/>
    <col min="13984" max="13984" customWidth="1" width="8"/>
    <col min="13985" max="13985" customWidth="1" width="8"/>
    <col min="13986" max="13986" customWidth="1" width="8"/>
    <col min="13987" max="13987" customWidth="1" width="8"/>
    <col min="13988" max="13988" customWidth="1" width="8"/>
    <col min="13989" max="13989" customWidth="1" width="8"/>
    <col min="13990" max="13990" customWidth="1" width="8"/>
    <col min="13991" max="13991" customWidth="1" width="8"/>
    <col min="13992" max="13992" customWidth="1" width="8"/>
    <col min="13993" max="13993" customWidth="1" width="8"/>
    <col min="13994" max="13994" customWidth="1" width="8"/>
    <col min="13995" max="13995" customWidth="1" width="8"/>
    <col min="13996" max="13996" customWidth="1" width="8"/>
    <col min="13997" max="13997" customWidth="1" width="8"/>
    <col min="13998" max="13998" customWidth="1" width="8"/>
    <col min="13999" max="13999" customWidth="1" width="8"/>
    <col min="14000" max="14000" customWidth="1" width="8"/>
    <col min="14001" max="14001" customWidth="1" width="8"/>
    <col min="14002" max="14002" customWidth="1" width="8"/>
    <col min="14003" max="14003" customWidth="1" width="8"/>
    <col min="14004" max="14004" customWidth="1" width="8"/>
    <col min="14005" max="14005" customWidth="1" width="8"/>
    <col min="14006" max="14006" customWidth="1" width="8"/>
    <col min="14007" max="14007" customWidth="1" width="8"/>
    <col min="14008" max="14008" customWidth="1" width="8"/>
    <col min="14009" max="14009" customWidth="1" width="8"/>
    <col min="14010" max="14010" customWidth="1" width="8"/>
    <col min="14011" max="14011" customWidth="1" width="8"/>
    <col min="14012" max="14012" customWidth="1" width="8"/>
    <col min="14013" max="14013" customWidth="1" width="8"/>
    <col min="14014" max="14014" customWidth="1" width="8"/>
    <col min="14015" max="14015" customWidth="1" width="8"/>
    <col min="14016" max="14016" customWidth="1" width="8"/>
    <col min="14017" max="14017" customWidth="1" width="8"/>
    <col min="14018" max="14018" customWidth="1" width="8"/>
    <col min="14019" max="14019" customWidth="1" width="8"/>
    <col min="14020" max="14020" customWidth="1" width="8"/>
    <col min="14021" max="14021" customWidth="1" width="8"/>
    <col min="14022" max="14022" customWidth="1" width="8"/>
    <col min="14023" max="14023" customWidth="1" width="8"/>
    <col min="14024" max="14024" customWidth="1" width="8"/>
    <col min="14025" max="14025" customWidth="1" width="8"/>
    <col min="14026" max="14026" customWidth="1" width="8"/>
    <col min="14027" max="14027" customWidth="1" width="8"/>
    <col min="14028" max="14028" customWidth="1" width="8"/>
    <col min="14029" max="14029" customWidth="1" width="8"/>
    <col min="14030" max="14030" customWidth="1" width="8"/>
    <col min="14031" max="14031" customWidth="1" width="8"/>
    <col min="14032" max="14032" customWidth="1" width="8"/>
    <col min="14033" max="14033" customWidth="1" width="8"/>
    <col min="14034" max="14034" customWidth="1" width="8"/>
    <col min="14035" max="14035" customWidth="1" width="8"/>
    <col min="14036" max="14036" customWidth="1" width="8"/>
    <col min="14037" max="14037" customWidth="1" width="8"/>
    <col min="14038" max="14038" customWidth="1" width="8"/>
    <col min="14039" max="14039" customWidth="1" width="8"/>
    <col min="14040" max="14040" customWidth="1" width="8"/>
    <col min="14041" max="14041" customWidth="1" width="8"/>
    <col min="14042" max="14042" customWidth="1" width="8"/>
    <col min="14043" max="14043" customWidth="1" width="8"/>
    <col min="14044" max="14044" customWidth="1" width="8"/>
    <col min="14045" max="14045" customWidth="1" width="8"/>
    <col min="14046" max="14046" customWidth="1" width="8"/>
    <col min="14047" max="14047" customWidth="1" width="8"/>
    <col min="14048" max="14048" customWidth="1" width="8"/>
    <col min="14049" max="14049" customWidth="1" width="8"/>
    <col min="14050" max="14050" customWidth="1" width="8"/>
    <col min="14051" max="14051" customWidth="1" width="8"/>
    <col min="14052" max="14052" customWidth="1" width="8"/>
    <col min="14053" max="14053" customWidth="1" width="8"/>
    <col min="14054" max="14054" customWidth="1" width="8"/>
    <col min="14055" max="14055" customWidth="1" width="8"/>
    <col min="14056" max="14056" customWidth="1" width="8"/>
    <col min="14057" max="14057" customWidth="1" width="8"/>
    <col min="14058" max="14058" customWidth="1" width="8"/>
    <col min="14059" max="14059" customWidth="1" width="8"/>
    <col min="14060" max="14060" customWidth="1" width="8"/>
    <col min="14061" max="14061" customWidth="1" width="8"/>
    <col min="14062" max="14062" customWidth="1" width="8"/>
    <col min="14063" max="14063" customWidth="1" width="8"/>
    <col min="14064" max="14064" customWidth="1" width="8"/>
    <col min="14065" max="14065" customWidth="1" width="8"/>
    <col min="14066" max="14066" customWidth="1" width="8"/>
    <col min="14067" max="14067" customWidth="1" width="8"/>
    <col min="14068" max="14068" customWidth="1" width="8"/>
    <col min="14069" max="14069" customWidth="1" width="8"/>
    <col min="14070" max="14070" customWidth="1" width="8"/>
    <col min="14071" max="14071" customWidth="1" width="8"/>
    <col min="14072" max="14072" customWidth="1" width="8"/>
    <col min="14073" max="14073" customWidth="1" width="8"/>
    <col min="14074" max="14074" customWidth="1" width="8"/>
    <col min="14075" max="14075" customWidth="1" width="8"/>
    <col min="14076" max="14076" customWidth="1" width="8"/>
    <col min="14077" max="14077" customWidth="1" width="8"/>
    <col min="14078" max="14078" customWidth="1" width="8"/>
    <col min="14079" max="14079" customWidth="1" width="8"/>
    <col min="14080" max="14080" customWidth="1" width="8"/>
    <col min="14081" max="14081" customWidth="1" width="8"/>
    <col min="14082" max="14082" customWidth="1" width="8"/>
    <col min="14083" max="14083" customWidth="1" width="8"/>
    <col min="14084" max="14084" customWidth="1" width="8"/>
    <col min="14085" max="14085" customWidth="1" width="8"/>
    <col min="14086" max="14086" customWidth="1" width="8"/>
    <col min="14087" max="14087" customWidth="1" width="8"/>
    <col min="14088" max="14088" customWidth="1" width="8"/>
    <col min="14089" max="14089" customWidth="1" width="8"/>
    <col min="14090" max="14090" customWidth="1" width="8"/>
    <col min="14091" max="14091" customWidth="1" width="8"/>
    <col min="14092" max="14092" customWidth="1" width="8"/>
    <col min="14093" max="14093" customWidth="1" width="8"/>
    <col min="14094" max="14094" customWidth="1" width="8"/>
    <col min="14095" max="14095" customWidth="1" width="8"/>
    <col min="14096" max="14096" customWidth="1" width="8"/>
    <col min="14097" max="14097" customWidth="1" width="8"/>
    <col min="14098" max="14098" customWidth="1" width="8"/>
    <col min="14099" max="14099" customWidth="1" width="8"/>
    <col min="14100" max="14100" customWidth="1" width="8"/>
    <col min="14101" max="14101" customWidth="1" width="8"/>
    <col min="14102" max="14102" customWidth="1" width="8"/>
    <col min="14103" max="14103" customWidth="1" width="8"/>
    <col min="14104" max="14104" customWidth="1" width="8"/>
    <col min="14105" max="14105" customWidth="1" width="8"/>
    <col min="14106" max="14106" customWidth="1" width="8"/>
    <col min="14107" max="14107" customWidth="1" width="8"/>
    <col min="14108" max="14108" customWidth="1" width="8"/>
    <col min="14109" max="14109" customWidth="1" width="8"/>
    <col min="14110" max="14110" customWidth="1" width="8"/>
    <col min="14111" max="14111" customWidth="1" width="8"/>
    <col min="14112" max="14112" customWidth="1" width="8"/>
    <col min="14113" max="14113" customWidth="1" width="8"/>
    <col min="14114" max="14114" customWidth="1" width="8"/>
    <col min="14115" max="14115" customWidth="1" width="8"/>
    <col min="14116" max="14116" customWidth="1" width="8"/>
    <col min="14117" max="14117" customWidth="1" width="8"/>
    <col min="14118" max="14118" customWidth="1" width="8"/>
    <col min="14119" max="14119" customWidth="1" width="8"/>
    <col min="14120" max="14120" customWidth="1" width="8"/>
    <col min="14121" max="14121" customWidth="1" width="8"/>
    <col min="14122" max="14122" customWidth="1" width="8"/>
    <col min="14123" max="14123" customWidth="1" width="8"/>
    <col min="14124" max="14124" customWidth="1" width="8"/>
    <col min="14125" max="14125" customWidth="1" width="8"/>
    <col min="14126" max="14126" customWidth="1" width="8"/>
    <col min="14127" max="14127" customWidth="1" width="8"/>
    <col min="14128" max="14128" customWidth="1" width="8"/>
    <col min="14129" max="14129" customWidth="1" width="8"/>
    <col min="14130" max="14130" customWidth="1" width="8"/>
    <col min="14131" max="14131" customWidth="1" width="8"/>
    <col min="14132" max="14132" customWidth="1" width="8"/>
    <col min="14133" max="14133" customWidth="1" width="8"/>
    <col min="14134" max="14134" customWidth="1" width="8"/>
    <col min="14135" max="14135" customWidth="1" width="8"/>
    <col min="14136" max="14136" customWidth="1" width="8"/>
    <col min="14137" max="14137" customWidth="1" width="8"/>
    <col min="14138" max="14138" customWidth="1" width="8"/>
    <col min="14139" max="14139" customWidth="1" width="8"/>
    <col min="14140" max="14140" customWidth="1" width="8"/>
    <col min="14141" max="14141" customWidth="1" width="8"/>
    <col min="14142" max="14142" customWidth="1" width="8"/>
    <col min="14143" max="14143" customWidth="1" width="8"/>
    <col min="14144" max="14144" customWidth="1" width="8"/>
    <col min="14145" max="14145" customWidth="1" width="8"/>
    <col min="14146" max="14146" customWidth="1" width="8"/>
    <col min="14147" max="14147" customWidth="1" width="8"/>
    <col min="14148" max="14148" customWidth="1" width="8"/>
    <col min="14149" max="14149" customWidth="1" width="8"/>
    <col min="14150" max="14150" customWidth="1" width="8"/>
    <col min="14151" max="14151" customWidth="1" width="8"/>
    <col min="14152" max="14152" customWidth="1" width="8"/>
    <col min="14153" max="14153" customWidth="1" width="8"/>
    <col min="14154" max="14154" customWidth="1" width="8"/>
    <col min="14155" max="14155" customWidth="1" width="8"/>
    <col min="14156" max="14156" customWidth="1" width="8"/>
    <col min="14157" max="14157" customWidth="1" width="8"/>
    <col min="14158" max="14158" customWidth="1" width="8"/>
    <col min="14159" max="14159" customWidth="1" width="8"/>
    <col min="14160" max="14160" customWidth="1" width="8"/>
    <col min="14161" max="14161" customWidth="1" width="8"/>
    <col min="14162" max="14162" customWidth="1" width="8"/>
    <col min="14163" max="14163" customWidth="1" width="8"/>
    <col min="14164" max="14164" customWidth="1" width="8"/>
    <col min="14165" max="14165" customWidth="1" width="8"/>
    <col min="14166" max="14166" customWidth="1" width="8"/>
    <col min="14167" max="14167" customWidth="1" width="8"/>
    <col min="14168" max="14168" customWidth="1" width="8"/>
    <col min="14169" max="14169" customWidth="1" width="8"/>
    <col min="14170" max="14170" customWidth="1" width="8"/>
    <col min="14171" max="14171" customWidth="1" width="8"/>
    <col min="14172" max="14172" customWidth="1" width="8"/>
    <col min="14173" max="14173" customWidth="1" width="8"/>
    <col min="14174" max="14174" customWidth="1" width="8"/>
    <col min="14175" max="14175" customWidth="1" width="8"/>
    <col min="14176" max="14176" customWidth="1" width="8"/>
    <col min="14177" max="14177" customWidth="1" width="8"/>
    <col min="14178" max="14178" customWidth="1" width="8"/>
    <col min="14179" max="14179" customWidth="1" width="8"/>
    <col min="14180" max="14180" customWidth="1" width="8"/>
    <col min="14181" max="14181" customWidth="1" width="8"/>
    <col min="14182" max="14182" customWidth="1" width="8"/>
    <col min="14183" max="14183" customWidth="1" width="8"/>
    <col min="14184" max="14184" customWidth="1" width="8"/>
    <col min="14185" max="14185" customWidth="1" width="8"/>
    <col min="14186" max="14186" customWidth="1" width="8"/>
    <col min="14187" max="14187" customWidth="1" width="8"/>
    <col min="14188" max="14188" customWidth="1" width="8"/>
    <col min="14189" max="14189" customWidth="1" width="8"/>
    <col min="14190" max="14190" customWidth="1" width="8"/>
    <col min="14191" max="14191" customWidth="1" width="8"/>
    <col min="14192" max="14192" customWidth="1" width="8"/>
    <col min="14193" max="14193" customWidth="1" width="8"/>
    <col min="14194" max="14194" customWidth="1" width="8"/>
    <col min="14195" max="14195" customWidth="1" width="8"/>
    <col min="14196" max="14196" customWidth="1" width="8"/>
    <col min="14197" max="14197" customWidth="1" width="8"/>
    <col min="14198" max="14198" customWidth="1" width="8"/>
    <col min="14199" max="14199" customWidth="1" width="8"/>
    <col min="14200" max="14200" customWidth="1" width="8"/>
    <col min="14201" max="14201" customWidth="1" width="8"/>
    <col min="14202" max="14202" customWidth="1" width="8"/>
    <col min="14203" max="14203" customWidth="1" width="8"/>
    <col min="14204" max="14204" customWidth="1" width="8"/>
    <col min="14205" max="14205" customWidth="1" width="8"/>
    <col min="14206" max="14206" customWidth="1" width="8"/>
    <col min="14207" max="14207" customWidth="1" width="8"/>
    <col min="14208" max="14208" customWidth="1" width="8"/>
    <col min="14209" max="14209" customWidth="1" width="8"/>
    <col min="14210" max="14210" customWidth="1" width="8"/>
    <col min="14211" max="14211" customWidth="1" width="8"/>
    <col min="14212" max="14212" customWidth="1" width="8"/>
    <col min="14213" max="14213" customWidth="1" width="8"/>
    <col min="14214" max="14214" customWidth="1" width="8"/>
    <col min="14215" max="14215" customWidth="1" width="8"/>
    <col min="14216" max="14216" customWidth="1" width="8"/>
    <col min="14217" max="14217" customWidth="1" width="8"/>
    <col min="14218" max="14218" customWidth="1" width="8"/>
    <col min="14219" max="14219" customWidth="1" width="8"/>
    <col min="14220" max="14220" customWidth="1" width="8"/>
    <col min="14221" max="14221" customWidth="1" width="8"/>
    <col min="14222" max="14222" customWidth="1" width="8"/>
    <col min="14223" max="14223" customWidth="1" width="8"/>
    <col min="14224" max="14224" customWidth="1" width="8"/>
    <col min="14225" max="14225" customWidth="1" width="8"/>
    <col min="14226" max="14226" customWidth="1" width="8"/>
    <col min="14227" max="14227" customWidth="1" width="8"/>
    <col min="14228" max="14228" customWidth="1" width="8"/>
    <col min="14229" max="14229" customWidth="1" width="8"/>
    <col min="14230" max="14230" customWidth="1" width="8"/>
    <col min="14231" max="14231" customWidth="1" width="8"/>
    <col min="14232" max="14232" customWidth="1" width="8"/>
    <col min="14233" max="14233" customWidth="1" width="8"/>
    <col min="14234" max="14234" customWidth="1" width="8"/>
    <col min="14235" max="14235" customWidth="1" width="8"/>
    <col min="14236" max="14236" customWidth="1" width="8"/>
    <col min="14237" max="14237" customWidth="1" width="8"/>
    <col min="14238" max="14238" customWidth="1" width="8"/>
    <col min="14239" max="14239" customWidth="1" width="8"/>
    <col min="14240" max="14240" customWidth="1" width="8"/>
    <col min="14241" max="14241" customWidth="1" width="8"/>
    <col min="14242" max="14242" customWidth="1" width="8"/>
    <col min="14243" max="14243" customWidth="1" width="8"/>
    <col min="14244" max="14244" customWidth="1" width="8"/>
    <col min="14245" max="14245" customWidth="1" width="8"/>
    <col min="14246" max="14246" customWidth="1" width="8"/>
    <col min="14247" max="14247" customWidth="1" width="8"/>
    <col min="14248" max="14248" customWidth="1" width="8"/>
    <col min="14249" max="14249" customWidth="1" width="8"/>
    <col min="14250" max="14250" customWidth="1" width="8"/>
    <col min="14251" max="14251" customWidth="1" width="8"/>
    <col min="14252" max="14252" customWidth="1" width="8"/>
    <col min="14253" max="14253" customWidth="1" width="8"/>
    <col min="14254" max="14254" customWidth="1" width="8"/>
    <col min="14255" max="14255" customWidth="1" width="8"/>
    <col min="14256" max="14256" customWidth="1" width="8"/>
    <col min="14257" max="14257" customWidth="1" width="8"/>
    <col min="14258" max="14258" customWidth="1" width="8"/>
    <col min="14259" max="14259" customWidth="1" width="8"/>
    <col min="14260" max="14260" customWidth="1" width="8"/>
    <col min="14261" max="14261" customWidth="1" width="8"/>
    <col min="14262" max="14262" customWidth="1" width="8"/>
    <col min="14263" max="14263" customWidth="1" width="8"/>
    <col min="14264" max="14264" customWidth="1" width="8"/>
    <col min="14265" max="14265" customWidth="1" width="8"/>
    <col min="14266" max="14266" customWidth="1" width="8"/>
    <col min="14267" max="14267" customWidth="1" width="8"/>
    <col min="14268" max="14268" customWidth="1" width="8"/>
    <col min="14269" max="14269" customWidth="1" width="8"/>
    <col min="14270" max="14270" customWidth="1" width="8"/>
    <col min="14271" max="14271" customWidth="1" width="8"/>
    <col min="14272" max="14272" customWidth="1" width="8"/>
    <col min="14273" max="14273" customWidth="1" width="8"/>
    <col min="14274" max="14274" customWidth="1" width="8"/>
    <col min="14275" max="14275" customWidth="1" width="8"/>
    <col min="14276" max="14276" customWidth="1" width="8"/>
    <col min="14277" max="14277" customWidth="1" width="8"/>
    <col min="14278" max="14278" customWidth="1" width="8"/>
    <col min="14279" max="14279" customWidth="1" width="8"/>
    <col min="14280" max="14280" customWidth="1" width="8"/>
    <col min="14281" max="14281" customWidth="1" width="8"/>
    <col min="14282" max="14282" customWidth="1" width="8"/>
    <col min="14283" max="14283" customWidth="1" width="8"/>
    <col min="14284" max="14284" customWidth="1" width="8"/>
    <col min="14285" max="14285" customWidth="1" width="8"/>
    <col min="14286" max="14286" customWidth="1" width="8"/>
    <col min="14287" max="14287" customWidth="1" width="8"/>
    <col min="14288" max="14288" customWidth="1" width="8"/>
    <col min="14289" max="14289" customWidth="1" width="8"/>
    <col min="14290" max="14290" customWidth="1" width="8"/>
    <col min="14291" max="14291" customWidth="1" width="8"/>
    <col min="14292" max="14292" customWidth="1" width="8"/>
    <col min="14293" max="14293" customWidth="1" width="8"/>
    <col min="14294" max="14294" customWidth="1" width="8"/>
    <col min="14295" max="14295" customWidth="1" width="8"/>
    <col min="14296" max="14296" customWidth="1" width="8"/>
    <col min="14297" max="14297" customWidth="1" width="8"/>
    <col min="14298" max="14298" customWidth="1" width="8"/>
    <col min="14299" max="14299" customWidth="1" width="8"/>
    <col min="14300" max="14300" customWidth="1" width="8"/>
    <col min="14301" max="14301" customWidth="1" width="8"/>
    <col min="14302" max="14302" customWidth="1" width="8"/>
    <col min="14303" max="14303" customWidth="1" width="8"/>
    <col min="14304" max="14304" customWidth="1" width="8"/>
    <col min="14305" max="14305" customWidth="1" width="8"/>
    <col min="14306" max="14306" customWidth="1" width="8"/>
    <col min="14307" max="14307" customWidth="1" width="8"/>
    <col min="14308" max="14308" customWidth="1" width="8"/>
    <col min="14309" max="14309" customWidth="1" width="8"/>
    <col min="14310" max="14310" customWidth="1" width="8"/>
    <col min="14311" max="14311" customWidth="1" width="8"/>
    <col min="14312" max="14312" customWidth="1" width="8"/>
    <col min="14313" max="14313" customWidth="1" width="8"/>
    <col min="14314" max="14314" customWidth="1" width="8"/>
    <col min="14315" max="14315" customWidth="1" width="8"/>
    <col min="14316" max="14316" customWidth="1" width="8"/>
    <col min="14317" max="14317" customWidth="1" width="8"/>
    <col min="14318" max="14318" customWidth="1" width="8"/>
    <col min="14319" max="14319" customWidth="1" width="8"/>
    <col min="14320" max="14320" customWidth="1" width="8"/>
    <col min="14321" max="14321" customWidth="1" width="8"/>
    <col min="14322" max="14322" customWidth="1" width="8"/>
    <col min="14323" max="14323" customWidth="1" width="8"/>
    <col min="14324" max="14324" customWidth="1" width="8"/>
    <col min="14325" max="14325" customWidth="1" width="8"/>
    <col min="14326" max="14326" customWidth="1" width="8"/>
    <col min="14327" max="14327" customWidth="1" width="8"/>
    <col min="14328" max="14328" customWidth="1" width="8"/>
    <col min="14329" max="14329" customWidth="1" width="8"/>
    <col min="14330" max="14330" customWidth="1" width="8"/>
    <col min="14331" max="14331" customWidth="1" width="8"/>
    <col min="14332" max="14332" customWidth="1" width="8"/>
    <col min="14333" max="14333" customWidth="1" width="8"/>
    <col min="14334" max="14334" customWidth="1" width="8"/>
    <col min="14335" max="14335" customWidth="1" width="8"/>
    <col min="14336" max="14336" customWidth="1" width="8"/>
    <col min="14337" max="14337" customWidth="1" width="8"/>
    <col min="14338" max="14338" customWidth="1" width="8"/>
    <col min="14339" max="14339" customWidth="1" width="8"/>
    <col min="14340" max="14340" customWidth="1" width="8"/>
    <col min="14341" max="14341" customWidth="1" width="8"/>
    <col min="14342" max="14342" customWidth="1" width="8"/>
    <col min="14343" max="14343" customWidth="1" width="8"/>
    <col min="14344" max="14344" customWidth="1" width="8"/>
    <col min="14345" max="14345" customWidth="1" width="8"/>
    <col min="14346" max="14346" customWidth="1" width="8"/>
    <col min="14347" max="14347" customWidth="1" width="8"/>
    <col min="14348" max="14348" customWidth="1" width="8"/>
    <col min="14349" max="14349" customWidth="1" width="8"/>
    <col min="14350" max="14350" customWidth="1" width="8"/>
    <col min="14351" max="14351" customWidth="1" width="8"/>
    <col min="14352" max="14352" customWidth="1" width="8"/>
    <col min="14353" max="14353" customWidth="1" width="8"/>
    <col min="14354" max="14354" customWidth="1" width="8"/>
    <col min="14355" max="14355" customWidth="1" width="8"/>
    <col min="14356" max="14356" customWidth="1" width="8"/>
    <col min="14357" max="14357" customWidth="1" width="8"/>
    <col min="14358" max="14358" customWidth="1" width="8"/>
    <col min="14359" max="14359" customWidth="1" width="8"/>
    <col min="14360" max="14360" customWidth="1" width="8"/>
    <col min="14361" max="14361" customWidth="1" width="8"/>
    <col min="14362" max="14362" customWidth="1" width="8"/>
    <col min="14363" max="14363" customWidth="1" width="8"/>
    <col min="14364" max="14364" customWidth="1" width="8"/>
    <col min="14365" max="14365" customWidth="1" width="8"/>
    <col min="14366" max="14366" customWidth="1" width="8"/>
    <col min="14367" max="14367" customWidth="1" width="8"/>
    <col min="14368" max="14368" customWidth="1" width="8"/>
    <col min="14369" max="14369" customWidth="1" width="8"/>
    <col min="14370" max="14370" customWidth="1" width="8"/>
    <col min="14371" max="14371" customWidth="1" width="8"/>
    <col min="14372" max="14372" customWidth="1" width="8"/>
    <col min="14373" max="14373" customWidth="1" width="8"/>
    <col min="14374" max="14374" customWidth="1" width="8"/>
    <col min="14375" max="14375" customWidth="1" width="8"/>
    <col min="14376" max="14376" customWidth="1" width="8"/>
    <col min="14377" max="14377" customWidth="1" width="8"/>
    <col min="14378" max="14378" customWidth="1" width="8"/>
    <col min="14379" max="14379" customWidth="1" width="8"/>
    <col min="14380" max="14380" customWidth="1" width="8"/>
    <col min="14381" max="14381" customWidth="1" width="8"/>
    <col min="14382" max="14382" customWidth="1" width="8"/>
    <col min="14383" max="14383" customWidth="1" width="8"/>
    <col min="14384" max="14384" customWidth="1" width="8"/>
    <col min="14385" max="14385" customWidth="1" width="8"/>
    <col min="14386" max="14386" customWidth="1" width="8"/>
    <col min="14387" max="14387" customWidth="1" width="8"/>
    <col min="14388" max="14388" customWidth="1" width="8"/>
    <col min="14389" max="14389" customWidth="1" width="8"/>
    <col min="14390" max="14390" customWidth="1" width="8"/>
    <col min="14391" max="14391" customWidth="1" width="8"/>
    <col min="14392" max="14392" customWidth="1" width="8"/>
    <col min="14393" max="14393" customWidth="1" width="8"/>
    <col min="14394" max="14394" customWidth="1" width="8"/>
    <col min="14395" max="14395" customWidth="1" width="8"/>
    <col min="14396" max="14396" customWidth="1" width="8"/>
    <col min="14397" max="14397" customWidth="1" width="8"/>
    <col min="14398" max="14398" customWidth="1" width="8"/>
    <col min="14399" max="14399" customWidth="1" width="8"/>
    <col min="14400" max="14400" customWidth="1" width="8"/>
    <col min="14401" max="14401" customWidth="1" width="8"/>
    <col min="14402" max="14402" customWidth="1" width="8"/>
    <col min="14403" max="14403" customWidth="1" width="8"/>
    <col min="14404" max="14404" customWidth="1" width="8"/>
    <col min="14405" max="14405" customWidth="1" width="8"/>
    <col min="14406" max="14406" customWidth="1" width="8"/>
    <col min="14407" max="14407" customWidth="1" width="8"/>
    <col min="14408" max="14408" customWidth="1" width="8"/>
    <col min="14409" max="14409" customWidth="1" width="8"/>
    <col min="14410" max="14410" customWidth="1" width="8"/>
    <col min="14411" max="14411" customWidth="1" width="8"/>
    <col min="14412" max="14412" customWidth="1" width="8"/>
    <col min="14413" max="14413" customWidth="1" width="8"/>
    <col min="14414" max="14414" customWidth="1" width="8"/>
    <col min="14415" max="14415" customWidth="1" width="8"/>
    <col min="14416" max="14416" customWidth="1" width="8"/>
    <col min="14417" max="14417" customWidth="1" width="8"/>
    <col min="14418" max="14418" customWidth="1" width="8"/>
    <col min="14419" max="14419" customWidth="1" width="8"/>
    <col min="14420" max="14420" customWidth="1" width="8"/>
    <col min="14421" max="14421" customWidth="1" width="8"/>
    <col min="14422" max="14422" customWidth="1" width="8"/>
    <col min="14423" max="14423" customWidth="1" width="8"/>
    <col min="14424" max="14424" customWidth="1" width="8"/>
    <col min="14425" max="14425" customWidth="1" width="8"/>
    <col min="14426" max="14426" customWidth="1" width="8"/>
    <col min="14427" max="14427" customWidth="1" width="8"/>
    <col min="14428" max="14428" customWidth="1" width="8"/>
    <col min="14429" max="14429" customWidth="1" width="8"/>
    <col min="14430" max="14430" customWidth="1" width="8"/>
    <col min="14431" max="14431" customWidth="1" width="8"/>
    <col min="14432" max="14432" customWidth="1" width="8"/>
    <col min="14433" max="14433" customWidth="1" width="8"/>
    <col min="14434" max="14434" customWidth="1" width="8"/>
    <col min="14435" max="14435" customWidth="1" width="8"/>
    <col min="14436" max="14436" customWidth="1" width="8"/>
    <col min="14437" max="14437" customWidth="1" width="8"/>
    <col min="14438" max="14438" customWidth="1" width="8"/>
    <col min="14439" max="14439" customWidth="1" width="8"/>
    <col min="14440" max="14440" customWidth="1" width="8"/>
    <col min="14441" max="14441" customWidth="1" width="8"/>
    <col min="14442" max="14442" customWidth="1" width="8"/>
    <col min="14443" max="14443" customWidth="1" width="8"/>
    <col min="14444" max="14444" customWidth="1" width="8"/>
    <col min="14445" max="14445" customWidth="1" width="8"/>
    <col min="14446" max="14446" customWidth="1" width="8"/>
    <col min="14447" max="14447" customWidth="1" width="8"/>
    <col min="14448" max="14448" customWidth="1" width="8"/>
    <col min="14449" max="14449" customWidth="1" width="8"/>
    <col min="14450" max="14450" customWidth="1" width="8"/>
    <col min="14451" max="14451" customWidth="1" width="8"/>
    <col min="14452" max="14452" customWidth="1" width="8"/>
    <col min="14453" max="14453" customWidth="1" width="8"/>
    <col min="14454" max="14454" customWidth="1" width="8"/>
    <col min="14455" max="14455" customWidth="1" width="8"/>
    <col min="14456" max="14456" customWidth="1" width="8"/>
    <col min="14457" max="14457" customWidth="1" width="8"/>
    <col min="14458" max="14458" customWidth="1" width="8"/>
    <col min="14459" max="14459" customWidth="1" width="8"/>
    <col min="14460" max="14460" customWidth="1" width="8"/>
    <col min="14461" max="14461" customWidth="1" width="8"/>
    <col min="14462" max="14462" customWidth="1" width="8"/>
    <col min="14463" max="14463" customWidth="1" width="8"/>
    <col min="14464" max="14464" customWidth="1" width="8"/>
    <col min="14465" max="14465" customWidth="1" width="8"/>
    <col min="14466" max="14466" customWidth="1" width="8"/>
    <col min="14467" max="14467" customWidth="1" width="8"/>
    <col min="14468" max="14468" customWidth="1" width="8"/>
    <col min="14469" max="14469" customWidth="1" width="8"/>
    <col min="14470" max="14470" customWidth="1" width="8"/>
    <col min="14471" max="14471" customWidth="1" width="8"/>
    <col min="14472" max="14472" customWidth="1" width="8"/>
    <col min="14473" max="14473" customWidth="1" width="8"/>
    <col min="14474" max="14474" customWidth="1" width="8"/>
    <col min="14475" max="14475" customWidth="1" width="8"/>
    <col min="14476" max="14476" customWidth="1" width="8"/>
    <col min="14477" max="14477" customWidth="1" width="8"/>
    <col min="14478" max="14478" customWidth="1" width="8"/>
    <col min="14479" max="14479" customWidth="1" width="8"/>
    <col min="14480" max="14480" customWidth="1" width="8"/>
    <col min="14481" max="14481" customWidth="1" width="8"/>
    <col min="14482" max="14482" customWidth="1" width="8"/>
    <col min="14483" max="14483" customWidth="1" width="8"/>
    <col min="14484" max="14484" customWidth="1" width="8"/>
    <col min="14485" max="14485" customWidth="1" width="8"/>
    <col min="14486" max="14486" customWidth="1" width="8"/>
    <col min="14487" max="14487" customWidth="1" width="8"/>
    <col min="14488" max="14488" customWidth="1" width="8"/>
    <col min="14489" max="14489" customWidth="1" width="8"/>
    <col min="14490" max="14490" customWidth="1" width="8"/>
    <col min="14491" max="14491" customWidth="1" width="8"/>
    <col min="14492" max="14492" customWidth="1" width="8"/>
    <col min="14493" max="14493" customWidth="1" width="8"/>
    <col min="14494" max="14494" customWidth="1" width="8"/>
    <col min="14495" max="14495" customWidth="1" width="8"/>
    <col min="14496" max="14496" customWidth="1" width="8"/>
    <col min="14497" max="14497" customWidth="1" width="8"/>
    <col min="14498" max="14498" customWidth="1" width="8"/>
    <col min="14499" max="14499" customWidth="1" width="8"/>
    <col min="14500" max="14500" customWidth="1" width="8"/>
    <col min="14501" max="14501" customWidth="1" width="8"/>
    <col min="14502" max="14502" customWidth="1" width="8"/>
    <col min="14503" max="14503" customWidth="1" width="8"/>
    <col min="14504" max="14504" customWidth="1" width="8"/>
    <col min="14505" max="14505" customWidth="1" width="8"/>
    <col min="14506" max="14506" customWidth="1" width="8"/>
    <col min="14507" max="14507" customWidth="1" width="8"/>
    <col min="14508" max="14508" customWidth="1" width="8"/>
    <col min="14509" max="14509" customWidth="1" width="8"/>
    <col min="14510" max="14510" customWidth="1" width="8"/>
    <col min="14511" max="14511" customWidth="1" width="8"/>
    <col min="14512" max="14512" customWidth="1" width="8"/>
    <col min="14513" max="14513" customWidth="1" width="8"/>
    <col min="14514" max="14514" customWidth="1" width="8"/>
    <col min="14515" max="14515" customWidth="1" width="8"/>
    <col min="14516" max="14516" customWidth="1" width="8"/>
    <col min="14517" max="14517" customWidth="1" width="8"/>
    <col min="14518" max="14518" customWidth="1" width="8"/>
    <col min="14519" max="14519" customWidth="1" width="8"/>
    <col min="14520" max="14520" customWidth="1" width="8"/>
    <col min="14521" max="14521" customWidth="1" width="8"/>
    <col min="14522" max="14522" customWidth="1" width="8"/>
    <col min="14523" max="14523" customWidth="1" width="8"/>
    <col min="14524" max="14524" customWidth="1" width="8"/>
    <col min="14525" max="14525" customWidth="1" width="8"/>
    <col min="14526" max="14526" customWidth="1" width="8"/>
    <col min="14527" max="14527" customWidth="1" width="8"/>
    <col min="14528" max="14528" customWidth="1" width="8"/>
    <col min="14529" max="14529" customWidth="1" width="8"/>
    <col min="14530" max="14530" customWidth="1" width="8"/>
    <col min="14531" max="14531" customWidth="1" width="8"/>
    <col min="14532" max="14532" customWidth="1" width="8"/>
    <col min="14533" max="14533" customWidth="1" width="8"/>
    <col min="14534" max="14534" customWidth="1" width="8"/>
    <col min="14535" max="14535" customWidth="1" width="8"/>
    <col min="14536" max="14536" customWidth="1" width="8"/>
    <col min="14537" max="14537" customWidth="1" width="8"/>
    <col min="14538" max="14538" customWidth="1" width="8"/>
    <col min="14539" max="14539" customWidth="1" width="8"/>
    <col min="14540" max="14540" customWidth="1" width="8"/>
    <col min="14541" max="14541" customWidth="1" width="8"/>
    <col min="14542" max="14542" customWidth="1" width="8"/>
    <col min="14543" max="14543" customWidth="1" width="8"/>
    <col min="14544" max="14544" customWidth="1" width="8"/>
    <col min="14545" max="14545" customWidth="1" width="8"/>
    <col min="14546" max="14546" customWidth="1" width="8"/>
    <col min="14547" max="14547" customWidth="1" width="8"/>
    <col min="14548" max="14548" customWidth="1" width="8"/>
    <col min="14549" max="14549" customWidth="1" width="8"/>
    <col min="14550" max="14550" customWidth="1" width="8"/>
    <col min="14551" max="14551" customWidth="1" width="8"/>
    <col min="14552" max="14552" customWidth="1" width="8"/>
    <col min="14553" max="14553" customWidth="1" width="8"/>
    <col min="14554" max="14554" customWidth="1" width="8"/>
    <col min="14555" max="14555" customWidth="1" width="8"/>
    <col min="14556" max="14556" customWidth="1" width="8"/>
    <col min="14557" max="14557" customWidth="1" width="8"/>
    <col min="14558" max="14558" customWidth="1" width="8"/>
    <col min="14559" max="14559" customWidth="1" width="8"/>
    <col min="14560" max="14560" customWidth="1" width="8"/>
    <col min="14561" max="14561" customWidth="1" width="8"/>
    <col min="14562" max="14562" customWidth="1" width="8"/>
    <col min="14563" max="14563" customWidth="1" width="8"/>
    <col min="14564" max="14564" customWidth="1" width="8"/>
    <col min="14565" max="14565" customWidth="1" width="8"/>
    <col min="14566" max="14566" customWidth="1" width="8"/>
    <col min="14567" max="14567" customWidth="1" width="8"/>
    <col min="14568" max="14568" customWidth="1" width="8"/>
    <col min="14569" max="14569" customWidth="1" width="8"/>
    <col min="14570" max="14570" customWidth="1" width="8"/>
    <col min="14571" max="14571" customWidth="1" width="8"/>
    <col min="14572" max="14572" customWidth="1" width="8"/>
    <col min="14573" max="14573" customWidth="1" width="8"/>
    <col min="14574" max="14574" customWidth="1" width="8"/>
    <col min="14575" max="14575" customWidth="1" width="8"/>
    <col min="14576" max="14576" customWidth="1" width="8"/>
    <col min="14577" max="14577" customWidth="1" width="8"/>
    <col min="14578" max="14578" customWidth="1" width="8"/>
    <col min="14579" max="14579" customWidth="1" width="8"/>
    <col min="14580" max="14580" customWidth="1" width="8"/>
    <col min="14581" max="14581" customWidth="1" width="8"/>
    <col min="14582" max="14582" customWidth="1" width="8"/>
    <col min="14583" max="14583" customWidth="1" width="8"/>
    <col min="14584" max="14584" customWidth="1" width="8"/>
    <col min="14585" max="14585" customWidth="1" width="8"/>
    <col min="14586" max="14586" customWidth="1" width="8"/>
    <col min="14587" max="14587" customWidth="1" width="8"/>
    <col min="14588" max="14588" customWidth="1" width="8"/>
    <col min="14589" max="14589" customWidth="1" width="8"/>
    <col min="14590" max="14590" customWidth="1" width="8"/>
    <col min="14591" max="14591" customWidth="1" width="8"/>
    <col min="14592" max="14592" customWidth="1" width="8"/>
    <col min="14593" max="14593" customWidth="1" width="8"/>
    <col min="14594" max="14594" customWidth="1" width="8"/>
    <col min="14595" max="14595" customWidth="1" width="8"/>
    <col min="14596" max="14596" customWidth="1" width="8"/>
    <col min="14597" max="14597" customWidth="1" width="8"/>
    <col min="14598" max="14598" customWidth="1" width="8"/>
    <col min="14599" max="14599" customWidth="1" width="8"/>
    <col min="14600" max="14600" customWidth="1" width="8"/>
    <col min="14601" max="14601" customWidth="1" width="8"/>
    <col min="14602" max="14602" customWidth="1" width="8"/>
    <col min="14603" max="14603" customWidth="1" width="8"/>
    <col min="14604" max="14604" customWidth="1" width="8"/>
    <col min="14605" max="14605" customWidth="1" width="8"/>
    <col min="14606" max="14606" customWidth="1" width="8"/>
    <col min="14607" max="14607" customWidth="1" width="8"/>
    <col min="14608" max="14608" customWidth="1" width="8"/>
    <col min="14609" max="14609" customWidth="1" width="8"/>
    <col min="14610" max="14610" customWidth="1" width="8"/>
    <col min="14611" max="14611" customWidth="1" width="8"/>
    <col min="14612" max="14612" customWidth="1" width="8"/>
    <col min="14613" max="14613" customWidth="1" width="8"/>
    <col min="14614" max="14614" customWidth="1" width="8"/>
    <col min="14615" max="14615" customWidth="1" width="8"/>
    <col min="14616" max="14616" customWidth="1" width="8"/>
    <col min="14617" max="14617" customWidth="1" width="8"/>
    <col min="14618" max="14618" customWidth="1" width="8"/>
    <col min="14619" max="14619" customWidth="1" width="8"/>
    <col min="14620" max="14620" customWidth="1" width="8"/>
    <col min="14621" max="14621" customWidth="1" width="8"/>
    <col min="14622" max="14622" customWidth="1" width="8"/>
    <col min="14623" max="14623" customWidth="1" width="8"/>
    <col min="14624" max="14624" customWidth="1" width="8"/>
    <col min="14625" max="14625" customWidth="1" width="8"/>
    <col min="14626" max="14626" customWidth="1" width="8"/>
    <col min="14627" max="14627" customWidth="1" width="8"/>
    <col min="14628" max="14628" customWidth="1" width="8"/>
    <col min="14629" max="14629" customWidth="1" width="8"/>
    <col min="14630" max="14630" customWidth="1" width="8"/>
    <col min="14631" max="14631" customWidth="1" width="8"/>
    <col min="14632" max="14632" customWidth="1" width="8"/>
    <col min="14633" max="14633" customWidth="1" width="8"/>
    <col min="14634" max="14634" customWidth="1" width="8"/>
    <col min="14635" max="14635" customWidth="1" width="8"/>
    <col min="14636" max="14636" customWidth="1" width="8"/>
    <col min="14637" max="14637" customWidth="1" width="8"/>
    <col min="14638" max="14638" customWidth="1" width="8"/>
    <col min="14639" max="14639" customWidth="1" width="8"/>
    <col min="14640" max="14640" customWidth="1" width="8"/>
    <col min="14641" max="14641" customWidth="1" width="8"/>
    <col min="14642" max="14642" customWidth="1" width="8"/>
    <col min="14643" max="14643" customWidth="1" width="8"/>
    <col min="14644" max="14644" customWidth="1" width="8"/>
    <col min="14645" max="14645" customWidth="1" width="8"/>
    <col min="14646" max="14646" customWidth="1" width="8"/>
    <col min="14647" max="14647" customWidth="1" width="8"/>
    <col min="14648" max="14648" customWidth="1" width="8"/>
    <col min="14649" max="14649" customWidth="1" width="8"/>
    <col min="14650" max="14650" customWidth="1" width="8"/>
    <col min="14651" max="14651" customWidth="1" width="8"/>
    <col min="14652" max="14652" customWidth="1" width="8"/>
    <col min="14653" max="14653" customWidth="1" width="8"/>
    <col min="14654" max="14654" customWidth="1" width="8"/>
    <col min="14655" max="14655" customWidth="1" width="8"/>
    <col min="14656" max="14656" customWidth="1" width="8"/>
    <col min="14657" max="14657" customWidth="1" width="8"/>
    <col min="14658" max="14658" customWidth="1" width="8"/>
    <col min="14659" max="14659" customWidth="1" width="8"/>
    <col min="14660" max="14660" customWidth="1" width="8"/>
    <col min="14661" max="14661" customWidth="1" width="8"/>
    <col min="14662" max="14662" customWidth="1" width="8"/>
    <col min="14663" max="14663" customWidth="1" width="8"/>
    <col min="14664" max="14664" customWidth="1" width="8"/>
    <col min="14665" max="14665" customWidth="1" width="8"/>
    <col min="14666" max="14666" customWidth="1" width="8"/>
    <col min="14667" max="14667" customWidth="1" width="8"/>
    <col min="14668" max="14668" customWidth="1" width="8"/>
    <col min="14669" max="14669" customWidth="1" width="8"/>
    <col min="14670" max="14670" customWidth="1" width="8"/>
    <col min="14671" max="14671" customWidth="1" width="8"/>
    <col min="14672" max="14672" customWidth="1" width="8"/>
    <col min="14673" max="14673" customWidth="1" width="8"/>
    <col min="14674" max="14674" customWidth="1" width="8"/>
    <col min="14675" max="14675" customWidth="1" width="8"/>
    <col min="14676" max="14676" customWidth="1" width="8"/>
    <col min="14677" max="14677" customWidth="1" width="8"/>
    <col min="14678" max="14678" customWidth="1" width="8"/>
    <col min="14679" max="14679" customWidth="1" width="8"/>
    <col min="14680" max="14680" customWidth="1" width="8"/>
    <col min="14681" max="14681" customWidth="1" width="8"/>
    <col min="14682" max="14682" customWidth="1" width="8"/>
    <col min="14683" max="14683" customWidth="1" width="8"/>
    <col min="14684" max="14684" customWidth="1" width="8"/>
    <col min="14685" max="14685" customWidth="1" width="8"/>
    <col min="14686" max="14686" customWidth="1" width="8"/>
    <col min="14687" max="14687" customWidth="1" width="8"/>
    <col min="14688" max="14688" customWidth="1" width="8"/>
    <col min="14689" max="14689" customWidth="1" width="8"/>
    <col min="14690" max="14690" customWidth="1" width="8"/>
    <col min="14691" max="14691" customWidth="1" width="8"/>
    <col min="14692" max="14692" customWidth="1" width="8"/>
    <col min="14693" max="14693" customWidth="1" width="8"/>
    <col min="14694" max="14694" customWidth="1" width="8"/>
    <col min="14695" max="14695" customWidth="1" width="8"/>
    <col min="14696" max="14696" customWidth="1" width="8"/>
    <col min="14697" max="14697" customWidth="1" width="8"/>
    <col min="14698" max="14698" customWidth="1" width="8"/>
    <col min="14699" max="14699" customWidth="1" width="8"/>
    <col min="14700" max="14700" customWidth="1" width="8"/>
    <col min="14701" max="14701" customWidth="1" width="8"/>
    <col min="14702" max="14702" customWidth="1" width="8"/>
    <col min="14703" max="14703" customWidth="1" width="8"/>
    <col min="14704" max="14704" customWidth="1" width="8"/>
    <col min="14705" max="14705" customWidth="1" width="8"/>
    <col min="14706" max="14706" customWidth="1" width="8"/>
    <col min="14707" max="14707" customWidth="1" width="8"/>
    <col min="14708" max="14708" customWidth="1" width="8"/>
    <col min="14709" max="14709" customWidth="1" width="8"/>
    <col min="14710" max="14710" customWidth="1" width="8"/>
    <col min="14711" max="14711" customWidth="1" width="8"/>
    <col min="14712" max="14712" customWidth="1" width="8"/>
    <col min="14713" max="14713" customWidth="1" width="8"/>
    <col min="14714" max="14714" customWidth="1" width="8"/>
    <col min="14715" max="14715" customWidth="1" width="8"/>
    <col min="14716" max="14716" customWidth="1" width="8"/>
    <col min="14717" max="14717" customWidth="1" width="8"/>
    <col min="14718" max="14718" customWidth="1" width="8"/>
    <col min="14719" max="14719" customWidth="1" width="8"/>
    <col min="14720" max="14720" customWidth="1" width="8"/>
    <col min="14721" max="14721" customWidth="1" width="8"/>
    <col min="14722" max="14722" customWidth="1" width="8"/>
    <col min="14723" max="14723" customWidth="1" width="8"/>
    <col min="14724" max="14724" customWidth="1" width="8"/>
    <col min="14725" max="14725" customWidth="1" width="8"/>
    <col min="14726" max="14726" customWidth="1" width="8"/>
    <col min="14727" max="14727" customWidth="1" width="8"/>
    <col min="14728" max="14728" customWidth="1" width="8"/>
    <col min="14729" max="14729" customWidth="1" width="8"/>
    <col min="14730" max="14730" customWidth="1" width="8"/>
    <col min="14731" max="14731" customWidth="1" width="8"/>
    <col min="14732" max="14732" customWidth="1" width="8"/>
    <col min="14733" max="14733" customWidth="1" width="8"/>
    <col min="14734" max="14734" customWidth="1" width="8"/>
    <col min="14735" max="14735" customWidth="1" width="8"/>
    <col min="14736" max="14736" customWidth="1" width="8"/>
    <col min="14737" max="14737" customWidth="1" width="8"/>
    <col min="14738" max="14738" customWidth="1" width="8"/>
    <col min="14739" max="14739" customWidth="1" width="8"/>
    <col min="14740" max="14740" customWidth="1" width="8"/>
    <col min="14741" max="14741" customWidth="1" width="8"/>
    <col min="14742" max="14742" customWidth="1" width="8"/>
    <col min="14743" max="14743" customWidth="1" width="8"/>
    <col min="14744" max="14744" customWidth="1" width="8"/>
    <col min="14745" max="14745" customWidth="1" width="8"/>
    <col min="14746" max="14746" customWidth="1" width="8"/>
    <col min="14747" max="14747" customWidth="1" width="8"/>
    <col min="14748" max="14748" customWidth="1" width="8"/>
    <col min="14749" max="14749" customWidth="1" width="8"/>
    <col min="14750" max="14750" customWidth="1" width="8"/>
    <col min="14751" max="14751" customWidth="1" width="8"/>
    <col min="14752" max="14752" customWidth="1" width="8"/>
    <col min="14753" max="14753" customWidth="1" width="8"/>
    <col min="14754" max="14754" customWidth="1" width="8"/>
    <col min="14755" max="14755" customWidth="1" width="8"/>
    <col min="14756" max="14756" customWidth="1" width="8"/>
    <col min="14757" max="14757" customWidth="1" width="8"/>
    <col min="14758" max="14758" customWidth="1" width="8"/>
    <col min="14759" max="14759" customWidth="1" width="8"/>
    <col min="14760" max="14760" customWidth="1" width="8"/>
    <col min="14761" max="14761" customWidth="1" width="8"/>
    <col min="14762" max="14762" customWidth="1" width="8"/>
    <col min="14763" max="14763" customWidth="1" width="8"/>
    <col min="14764" max="14764" customWidth="1" width="8"/>
    <col min="14765" max="14765" customWidth="1" width="8"/>
    <col min="14766" max="14766" customWidth="1" width="8"/>
    <col min="14767" max="14767" customWidth="1" width="8"/>
    <col min="14768" max="14768" customWidth="1" width="8"/>
    <col min="14769" max="14769" customWidth="1" width="8"/>
    <col min="14770" max="14770" customWidth="1" width="8"/>
    <col min="14771" max="14771" customWidth="1" width="8"/>
    <col min="14772" max="14772" customWidth="1" width="8"/>
    <col min="14773" max="14773" customWidth="1" width="8"/>
    <col min="14774" max="14774" customWidth="1" width="8"/>
    <col min="14775" max="14775" customWidth="1" width="8"/>
    <col min="14776" max="14776" customWidth="1" width="8"/>
    <col min="14777" max="14777" customWidth="1" width="8"/>
    <col min="14778" max="14778" customWidth="1" width="8"/>
    <col min="14779" max="14779" customWidth="1" width="8"/>
    <col min="14780" max="14780" customWidth="1" width="8"/>
    <col min="14781" max="14781" customWidth="1" width="8"/>
    <col min="14782" max="14782" customWidth="1" width="8"/>
    <col min="14783" max="14783" customWidth="1" width="8"/>
    <col min="14784" max="14784" customWidth="1" width="8"/>
    <col min="14785" max="14785" customWidth="1" width="8"/>
    <col min="14786" max="14786" customWidth="1" width="8"/>
    <col min="14787" max="14787" customWidth="1" width="8"/>
    <col min="14788" max="14788" customWidth="1" width="8"/>
    <col min="14789" max="14789" customWidth="1" width="8"/>
    <col min="14790" max="14790" customWidth="1" width="8"/>
    <col min="14791" max="14791" customWidth="1" width="8"/>
    <col min="14792" max="14792" customWidth="1" width="8"/>
    <col min="14793" max="14793" customWidth="1" width="8"/>
    <col min="14794" max="14794" customWidth="1" width="8"/>
    <col min="14795" max="14795" customWidth="1" width="8"/>
    <col min="14796" max="14796" customWidth="1" width="8"/>
    <col min="14797" max="14797" customWidth="1" width="8"/>
    <col min="14798" max="14798" customWidth="1" width="8"/>
    <col min="14799" max="14799" customWidth="1" width="8"/>
    <col min="14800" max="14800" customWidth="1" width="8"/>
    <col min="14801" max="14801" customWidth="1" width="8"/>
    <col min="14802" max="14802" customWidth="1" width="8"/>
    <col min="14803" max="14803" customWidth="1" width="8"/>
    <col min="14804" max="14804" customWidth="1" width="8"/>
    <col min="14805" max="14805" customWidth="1" width="8"/>
    <col min="14806" max="14806" customWidth="1" width="8"/>
    <col min="14807" max="14807" customWidth="1" width="8"/>
    <col min="14808" max="14808" customWidth="1" width="8"/>
    <col min="14809" max="14809" customWidth="1" width="8"/>
    <col min="14810" max="14810" customWidth="1" width="8"/>
    <col min="14811" max="14811" customWidth="1" width="8"/>
    <col min="14812" max="14812" customWidth="1" width="8"/>
    <col min="14813" max="14813" customWidth="1" width="8"/>
    <col min="14814" max="14814" customWidth="1" width="8"/>
    <col min="14815" max="14815" customWidth="1" width="8"/>
    <col min="14816" max="14816" customWidth="1" width="8"/>
    <col min="14817" max="14817" customWidth="1" width="8"/>
    <col min="14818" max="14818" customWidth="1" width="8"/>
    <col min="14819" max="14819" customWidth="1" width="8"/>
    <col min="14820" max="14820" customWidth="1" width="8"/>
    <col min="14821" max="14821" customWidth="1" width="8"/>
    <col min="14822" max="14822" customWidth="1" width="8"/>
    <col min="14823" max="14823" customWidth="1" width="8"/>
    <col min="14824" max="14824" customWidth="1" width="8"/>
    <col min="14825" max="14825" customWidth="1" width="8"/>
    <col min="14826" max="14826" customWidth="1" width="8"/>
    <col min="14827" max="14827" customWidth="1" width="8"/>
    <col min="14828" max="14828" customWidth="1" width="8"/>
    <col min="14829" max="14829" customWidth="1" width="8"/>
    <col min="14830" max="14830" customWidth="1" width="8"/>
    <col min="14831" max="14831" customWidth="1" width="8"/>
    <col min="14832" max="14832" customWidth="1" width="8"/>
    <col min="14833" max="14833" customWidth="1" width="8"/>
    <col min="14834" max="14834" customWidth="1" width="8"/>
    <col min="14835" max="14835" customWidth="1" width="8"/>
    <col min="14836" max="14836" customWidth="1" width="8"/>
    <col min="14837" max="14837" customWidth="1" width="8"/>
    <col min="14838" max="14838" customWidth="1" width="8"/>
    <col min="14839" max="14839" customWidth="1" width="8"/>
    <col min="14840" max="14840" customWidth="1" width="8"/>
    <col min="14841" max="14841" customWidth="1" width="8"/>
    <col min="14842" max="14842" customWidth="1" width="8"/>
    <col min="14843" max="14843" customWidth="1" width="8"/>
    <col min="14844" max="14844" customWidth="1" width="8"/>
    <col min="14845" max="14845" customWidth="1" width="8"/>
    <col min="14846" max="14846" customWidth="1" width="8"/>
    <col min="14847" max="14847" customWidth="1" width="8"/>
    <col min="14848" max="14848" customWidth="1" width="8"/>
    <col min="14849" max="14849" customWidth="1" width="8"/>
    <col min="14850" max="14850" customWidth="1" width="8"/>
    <col min="14851" max="14851" customWidth="1" width="8"/>
    <col min="14852" max="14852" customWidth="1" width="8"/>
    <col min="14853" max="14853" customWidth="1" width="8"/>
    <col min="14854" max="14854" customWidth="1" width="8"/>
    <col min="14855" max="14855" customWidth="1" width="8"/>
    <col min="14856" max="14856" customWidth="1" width="8"/>
    <col min="14857" max="14857" customWidth="1" width="8"/>
    <col min="14858" max="14858" customWidth="1" width="8"/>
    <col min="14859" max="14859" customWidth="1" width="8"/>
    <col min="14860" max="14860" customWidth="1" width="8"/>
    <col min="14861" max="14861" customWidth="1" width="8"/>
    <col min="14862" max="14862" customWidth="1" width="8"/>
    <col min="14863" max="14863" customWidth="1" width="8"/>
    <col min="14864" max="14864" customWidth="1" width="8"/>
    <col min="14865" max="14865" customWidth="1" width="8"/>
    <col min="14866" max="14866" customWidth="1" width="8"/>
    <col min="14867" max="14867" customWidth="1" width="8"/>
    <col min="14868" max="14868" customWidth="1" width="8"/>
    <col min="14869" max="14869" customWidth="1" width="8"/>
    <col min="14870" max="14870" customWidth="1" width="8"/>
    <col min="14871" max="14871" customWidth="1" width="8"/>
    <col min="14872" max="14872" customWidth="1" width="8"/>
    <col min="14873" max="14873" customWidth="1" width="8"/>
    <col min="14874" max="14874" customWidth="1" width="8"/>
    <col min="14875" max="14875" customWidth="1" width="8"/>
    <col min="14876" max="14876" customWidth="1" width="8"/>
    <col min="14877" max="14877" customWidth="1" width="8"/>
    <col min="14878" max="14878" customWidth="1" width="8"/>
    <col min="14879" max="14879" customWidth="1" width="8"/>
    <col min="14880" max="14880" customWidth="1" width="8"/>
    <col min="14881" max="14881" customWidth="1" width="8"/>
    <col min="14882" max="14882" customWidth="1" width="8"/>
    <col min="14883" max="14883" customWidth="1" width="8"/>
    <col min="14884" max="14884" customWidth="1" width="8"/>
    <col min="14885" max="14885" customWidth="1" width="8"/>
    <col min="14886" max="14886" customWidth="1" width="8"/>
    <col min="14887" max="14887" customWidth="1" width="8"/>
    <col min="14888" max="14888" customWidth="1" width="8"/>
    <col min="14889" max="14889" customWidth="1" width="8"/>
    <col min="14890" max="14890" customWidth="1" width="8"/>
    <col min="14891" max="14891" customWidth="1" width="8"/>
    <col min="14892" max="14892" customWidth="1" width="8"/>
    <col min="14893" max="14893" customWidth="1" width="8"/>
    <col min="14894" max="14894" customWidth="1" width="8"/>
    <col min="14895" max="14895" customWidth="1" width="8"/>
    <col min="14896" max="14896" customWidth="1" width="8"/>
    <col min="14897" max="14897" customWidth="1" width="8"/>
    <col min="14898" max="14898" customWidth="1" width="8"/>
    <col min="14899" max="14899" customWidth="1" width="8"/>
    <col min="14900" max="14900" customWidth="1" width="8"/>
    <col min="14901" max="14901" customWidth="1" width="8"/>
    <col min="14902" max="14902" customWidth="1" width="8"/>
    <col min="14903" max="14903" customWidth="1" width="8"/>
    <col min="14904" max="14904" customWidth="1" width="8"/>
    <col min="14905" max="14905" customWidth="1" width="8"/>
    <col min="14906" max="14906" customWidth="1" width="8"/>
    <col min="14907" max="14907" customWidth="1" width="8"/>
    <col min="14908" max="14908" customWidth="1" width="8"/>
    <col min="14909" max="14909" customWidth="1" width="8"/>
    <col min="14910" max="14910" customWidth="1" width="8"/>
    <col min="14911" max="14911" customWidth="1" width="8"/>
    <col min="14912" max="14912" customWidth="1" width="8"/>
    <col min="14913" max="14913" customWidth="1" width="8"/>
    <col min="14914" max="14914" customWidth="1" width="8"/>
    <col min="14915" max="14915" customWidth="1" width="8"/>
    <col min="14916" max="14916" customWidth="1" width="8"/>
    <col min="14917" max="14917" customWidth="1" width="8"/>
    <col min="14918" max="14918" customWidth="1" width="8"/>
    <col min="14919" max="14919" customWidth="1" width="8"/>
    <col min="14920" max="14920" customWidth="1" width="8"/>
    <col min="14921" max="14921" customWidth="1" width="8"/>
    <col min="14922" max="14922" customWidth="1" width="8"/>
    <col min="14923" max="14923" customWidth="1" width="8"/>
    <col min="14924" max="14924" customWidth="1" width="8"/>
    <col min="14925" max="14925" customWidth="1" width="8"/>
    <col min="14926" max="14926" customWidth="1" width="8"/>
    <col min="14927" max="14927" customWidth="1" width="8"/>
    <col min="14928" max="14928" customWidth="1" width="8"/>
    <col min="14929" max="14929" customWidth="1" width="8"/>
    <col min="14930" max="14930" customWidth="1" width="8"/>
    <col min="14931" max="14931" customWidth="1" width="8"/>
    <col min="14932" max="14932" customWidth="1" width="8"/>
    <col min="14933" max="14933" customWidth="1" width="8"/>
    <col min="14934" max="14934" customWidth="1" width="8"/>
    <col min="14935" max="14935" customWidth="1" width="8"/>
    <col min="14936" max="14936" customWidth="1" width="8"/>
    <col min="14937" max="14937" customWidth="1" width="8"/>
    <col min="14938" max="14938" customWidth="1" width="8"/>
    <col min="14939" max="14939" customWidth="1" width="8"/>
    <col min="14940" max="14940" customWidth="1" width="8"/>
    <col min="14941" max="14941" customWidth="1" width="8"/>
    <col min="14942" max="14942" customWidth="1" width="8"/>
    <col min="14943" max="14943" customWidth="1" width="8"/>
    <col min="14944" max="14944" customWidth="1" width="8"/>
    <col min="14945" max="14945" customWidth="1" width="8"/>
    <col min="14946" max="14946" customWidth="1" width="8"/>
    <col min="14947" max="14947" customWidth="1" width="8"/>
    <col min="14948" max="14948" customWidth="1" width="8"/>
    <col min="14949" max="14949" customWidth="1" width="8"/>
    <col min="14950" max="14950" customWidth="1" width="8"/>
    <col min="14951" max="14951" customWidth="1" width="8"/>
    <col min="14952" max="14952" customWidth="1" width="8"/>
    <col min="14953" max="14953" customWidth="1" width="8"/>
    <col min="14954" max="14954" customWidth="1" width="8"/>
    <col min="14955" max="14955" customWidth="1" width="8"/>
    <col min="14956" max="14956" customWidth="1" width="8"/>
    <col min="14957" max="14957" customWidth="1" width="8"/>
    <col min="14958" max="14958" customWidth="1" width="8"/>
    <col min="14959" max="14959" customWidth="1" width="8"/>
    <col min="14960" max="14960" customWidth="1" width="8"/>
    <col min="14961" max="14961" customWidth="1" width="8"/>
    <col min="14962" max="14962" customWidth="1" width="8"/>
    <col min="14963" max="14963" customWidth="1" width="8"/>
    <col min="14964" max="14964" customWidth="1" width="8"/>
    <col min="14965" max="14965" customWidth="1" width="8"/>
    <col min="14966" max="14966" customWidth="1" width="8"/>
    <col min="14967" max="14967" customWidth="1" width="8"/>
    <col min="14968" max="14968" customWidth="1" width="8"/>
    <col min="14969" max="14969" customWidth="1" width="8"/>
    <col min="14970" max="14970" customWidth="1" width="8"/>
    <col min="14971" max="14971" customWidth="1" width="8"/>
    <col min="14972" max="14972" customWidth="1" width="8"/>
    <col min="14973" max="14973" customWidth="1" width="8"/>
    <col min="14974" max="14974" customWidth="1" width="8"/>
    <col min="14975" max="14975" customWidth="1" width="8"/>
    <col min="14976" max="14976" customWidth="1" width="8"/>
    <col min="14977" max="14977" customWidth="1" width="8"/>
    <col min="14978" max="14978" customWidth="1" width="8"/>
    <col min="14979" max="14979" customWidth="1" width="8"/>
    <col min="14980" max="14980" customWidth="1" width="8"/>
    <col min="14981" max="14981" customWidth="1" width="8"/>
    <col min="14982" max="14982" customWidth="1" width="8"/>
    <col min="14983" max="14983" customWidth="1" width="8"/>
    <col min="14984" max="14984" customWidth="1" width="8"/>
    <col min="14985" max="14985" customWidth="1" width="8"/>
    <col min="14986" max="14986" customWidth="1" width="8"/>
    <col min="14987" max="14987" customWidth="1" width="8"/>
    <col min="14988" max="14988" customWidth="1" width="8"/>
    <col min="14989" max="14989" customWidth="1" width="8"/>
    <col min="14990" max="14990" customWidth="1" width="8"/>
    <col min="14991" max="14991" customWidth="1" width="8"/>
    <col min="14992" max="14992" customWidth="1" width="8"/>
    <col min="14993" max="14993" customWidth="1" width="8"/>
    <col min="14994" max="14994" customWidth="1" width="8"/>
    <col min="14995" max="14995" customWidth="1" width="8"/>
    <col min="14996" max="14996" customWidth="1" width="8"/>
    <col min="14997" max="14997" customWidth="1" width="8"/>
    <col min="14998" max="14998" customWidth="1" width="8"/>
    <col min="14999" max="14999" customWidth="1" width="8"/>
    <col min="15000" max="15000" customWidth="1" width="8"/>
    <col min="15001" max="15001" customWidth="1" width="8"/>
    <col min="15002" max="15002" customWidth="1" width="8"/>
    <col min="15003" max="15003" customWidth="1" width="8"/>
    <col min="15004" max="15004" customWidth="1" width="8"/>
    <col min="15005" max="15005" customWidth="1" width="8"/>
    <col min="15006" max="15006" customWidth="1" width="8"/>
    <col min="15007" max="15007" customWidth="1" width="8"/>
    <col min="15008" max="15008" customWidth="1" width="8"/>
    <col min="15009" max="15009" customWidth="1" width="8"/>
    <col min="15010" max="15010" customWidth="1" width="8"/>
    <col min="15011" max="15011" customWidth="1" width="8"/>
    <col min="15012" max="15012" customWidth="1" width="8"/>
    <col min="15013" max="15013" customWidth="1" width="8"/>
    <col min="15014" max="15014" customWidth="1" width="8"/>
    <col min="15015" max="15015" customWidth="1" width="8"/>
    <col min="15016" max="15016" customWidth="1" width="8"/>
    <col min="15017" max="15017" customWidth="1" width="8"/>
    <col min="15018" max="15018" customWidth="1" width="8"/>
    <col min="15019" max="15019" customWidth="1" width="8"/>
    <col min="15020" max="15020" customWidth="1" width="8"/>
    <col min="15021" max="15021" customWidth="1" width="8"/>
    <col min="15022" max="15022" customWidth="1" width="8"/>
    <col min="15023" max="15023" customWidth="1" width="8"/>
    <col min="15024" max="15024" customWidth="1" width="8"/>
    <col min="15025" max="15025" customWidth="1" width="8"/>
    <col min="15026" max="15026" customWidth="1" width="8"/>
    <col min="15027" max="15027" customWidth="1" width="8"/>
    <col min="15028" max="15028" customWidth="1" width="8"/>
    <col min="15029" max="15029" customWidth="1" width="8"/>
    <col min="15030" max="15030" customWidth="1" width="8"/>
    <col min="15031" max="15031" customWidth="1" width="8"/>
    <col min="15032" max="15032" customWidth="1" width="8"/>
    <col min="15033" max="15033" customWidth="1" width="8"/>
    <col min="15034" max="15034" customWidth="1" width="8"/>
    <col min="15035" max="15035" customWidth="1" width="8"/>
    <col min="15036" max="15036" customWidth="1" width="8"/>
    <col min="15037" max="15037" customWidth="1" width="8"/>
    <col min="15038" max="15038" customWidth="1" width="8"/>
    <col min="15039" max="15039" customWidth="1" width="8"/>
    <col min="15040" max="15040" customWidth="1" width="8"/>
    <col min="15041" max="15041" customWidth="1" width="8"/>
    <col min="15042" max="15042" customWidth="1" width="8"/>
    <col min="15043" max="15043" customWidth="1" width="8"/>
    <col min="15044" max="15044" customWidth="1" width="8"/>
    <col min="15045" max="15045" customWidth="1" width="8"/>
    <col min="15046" max="15046" customWidth="1" width="8"/>
    <col min="15047" max="15047" customWidth="1" width="8"/>
    <col min="15048" max="15048" customWidth="1" width="8"/>
    <col min="15049" max="15049" customWidth="1" width="8"/>
    <col min="15050" max="15050" customWidth="1" width="8"/>
    <col min="15051" max="15051" customWidth="1" width="8"/>
    <col min="15052" max="15052" customWidth="1" width="8"/>
    <col min="15053" max="15053" customWidth="1" width="8"/>
    <col min="15054" max="15054" customWidth="1" width="8"/>
    <col min="15055" max="15055" customWidth="1" width="8"/>
    <col min="15056" max="15056" customWidth="1" width="8"/>
    <col min="15057" max="15057" customWidth="1" width="8"/>
    <col min="15058" max="15058" customWidth="1" width="8"/>
    <col min="15059" max="15059" customWidth="1" width="8"/>
    <col min="15060" max="15060" customWidth="1" width="8"/>
    <col min="15061" max="15061" customWidth="1" width="8"/>
    <col min="15062" max="15062" customWidth="1" width="8"/>
    <col min="15063" max="15063" customWidth="1" width="8"/>
    <col min="15064" max="15064" customWidth="1" width="8"/>
    <col min="15065" max="15065" customWidth="1" width="8"/>
    <col min="15066" max="15066" customWidth="1" width="8"/>
    <col min="15067" max="15067" customWidth="1" width="8"/>
    <col min="15068" max="15068" customWidth="1" width="8"/>
    <col min="15069" max="15069" customWidth="1" width="8"/>
    <col min="15070" max="15070" customWidth="1" width="8"/>
    <col min="15071" max="15071" customWidth="1" width="8"/>
    <col min="15072" max="15072" customWidth="1" width="8"/>
    <col min="15073" max="15073" customWidth="1" width="8"/>
    <col min="15074" max="15074" customWidth="1" width="8"/>
    <col min="15075" max="15075" customWidth="1" width="8"/>
    <col min="15076" max="15076" customWidth="1" width="8"/>
    <col min="15077" max="15077" customWidth="1" width="8"/>
    <col min="15078" max="15078" customWidth="1" width="8"/>
    <col min="15079" max="15079" customWidth="1" width="8"/>
    <col min="15080" max="15080" customWidth="1" width="8"/>
    <col min="15081" max="15081" customWidth="1" width="8"/>
    <col min="15082" max="15082" customWidth="1" width="8"/>
    <col min="15083" max="15083" customWidth="1" width="8"/>
    <col min="15084" max="15084" customWidth="1" width="8"/>
    <col min="15085" max="15085" customWidth="1" width="8"/>
    <col min="15086" max="15086" customWidth="1" width="8"/>
    <col min="15087" max="15087" customWidth="1" width="8"/>
    <col min="15088" max="15088" customWidth="1" width="8"/>
    <col min="15089" max="15089" customWidth="1" width="8"/>
    <col min="15090" max="15090" customWidth="1" width="8"/>
    <col min="15091" max="15091" customWidth="1" width="8"/>
    <col min="15092" max="15092" customWidth="1" width="8"/>
    <col min="15093" max="15093" customWidth="1" width="8"/>
    <col min="15094" max="15094" customWidth="1" width="8"/>
    <col min="15095" max="15095" customWidth="1" width="8"/>
    <col min="15096" max="15096" customWidth="1" width="8"/>
    <col min="15097" max="15097" customWidth="1" width="8"/>
    <col min="15098" max="15098" customWidth="1" width="8"/>
    <col min="15099" max="15099" customWidth="1" width="8"/>
    <col min="15100" max="15100" customWidth="1" width="8"/>
    <col min="15101" max="15101" customWidth="1" width="8"/>
    <col min="15102" max="15102" customWidth="1" width="8"/>
    <col min="15103" max="15103" customWidth="1" width="8"/>
    <col min="15104" max="15104" customWidth="1" width="8"/>
    <col min="15105" max="15105" customWidth="1" width="8"/>
    <col min="15106" max="15106" customWidth="1" width="8"/>
    <col min="15107" max="15107" customWidth="1" width="8"/>
    <col min="15108" max="15108" customWidth="1" width="8"/>
    <col min="15109" max="15109" customWidth="1" width="8"/>
    <col min="15110" max="15110" customWidth="1" width="8"/>
    <col min="15111" max="15111" customWidth="1" width="8"/>
    <col min="15112" max="15112" customWidth="1" width="8"/>
    <col min="15113" max="15113" customWidth="1" width="8"/>
    <col min="15114" max="15114" customWidth="1" width="8"/>
    <col min="15115" max="15115" customWidth="1" width="8"/>
    <col min="15116" max="15116" customWidth="1" width="8"/>
    <col min="15117" max="15117" customWidth="1" width="8"/>
    <col min="15118" max="15118" customWidth="1" width="8"/>
    <col min="15119" max="15119" customWidth="1" width="8"/>
    <col min="15120" max="15120" customWidth="1" width="8"/>
    <col min="15121" max="15121" customWidth="1" width="8"/>
    <col min="15122" max="15122" customWidth="1" width="8"/>
    <col min="15123" max="15123" customWidth="1" width="8"/>
    <col min="15124" max="15124" customWidth="1" width="8"/>
    <col min="15125" max="15125" customWidth="1" width="8"/>
    <col min="15126" max="15126" customWidth="1" width="8"/>
    <col min="15127" max="15127" customWidth="1" width="8"/>
    <col min="15128" max="15128" customWidth="1" width="8"/>
    <col min="15129" max="15129" customWidth="1" width="8"/>
    <col min="15130" max="15130" customWidth="1" width="8"/>
    <col min="15131" max="15131" customWidth="1" width="8"/>
    <col min="15132" max="15132" customWidth="1" width="8"/>
    <col min="15133" max="15133" customWidth="1" width="8"/>
    <col min="15134" max="15134" customWidth="1" width="8"/>
    <col min="15135" max="15135" customWidth="1" width="8"/>
    <col min="15136" max="15136" customWidth="1" width="8"/>
    <col min="15137" max="15137" customWidth="1" width="8"/>
    <col min="15138" max="15138" customWidth="1" width="8"/>
    <col min="15139" max="15139" customWidth="1" width="8"/>
    <col min="15140" max="15140" customWidth="1" width="8"/>
    <col min="15141" max="15141" customWidth="1" width="8"/>
    <col min="15142" max="15142" customWidth="1" width="8"/>
    <col min="15143" max="15143" customWidth="1" width="8"/>
    <col min="15144" max="15144" customWidth="1" width="8"/>
    <col min="15145" max="15145" customWidth="1" width="8"/>
    <col min="15146" max="15146" customWidth="1" width="8"/>
    <col min="15147" max="15147" customWidth="1" width="8"/>
    <col min="15148" max="15148" customWidth="1" width="8"/>
    <col min="15149" max="15149" customWidth="1" width="8"/>
    <col min="15150" max="15150" customWidth="1" width="8"/>
    <col min="15151" max="15151" customWidth="1" width="8"/>
    <col min="15152" max="15152" customWidth="1" width="8"/>
    <col min="15153" max="15153" customWidth="1" width="8"/>
    <col min="15154" max="15154" customWidth="1" width="8"/>
    <col min="15155" max="15155" customWidth="1" width="8"/>
    <col min="15156" max="15156" customWidth="1" width="8"/>
    <col min="15157" max="15157" customWidth="1" width="8"/>
    <col min="15158" max="15158" customWidth="1" width="8"/>
    <col min="15159" max="15159" customWidth="1" width="8"/>
    <col min="15160" max="15160" customWidth="1" width="8"/>
    <col min="15161" max="15161" customWidth="1" width="8"/>
    <col min="15162" max="15162" customWidth="1" width="8"/>
    <col min="15163" max="15163" customWidth="1" width="8"/>
    <col min="15164" max="15164" customWidth="1" width="8"/>
    <col min="15165" max="15165" customWidth="1" width="8"/>
    <col min="15166" max="15166" customWidth="1" width="8"/>
    <col min="15167" max="15167" customWidth="1" width="8"/>
    <col min="15168" max="15168" customWidth="1" width="8"/>
    <col min="15169" max="15169" customWidth="1" width="8"/>
    <col min="15170" max="15170" customWidth="1" width="8"/>
    <col min="15171" max="15171" customWidth="1" width="8"/>
    <col min="15172" max="15172" customWidth="1" width="8"/>
    <col min="15173" max="15173" customWidth="1" width="8"/>
    <col min="15174" max="15174" customWidth="1" width="8"/>
    <col min="15175" max="15175" customWidth="1" width="8"/>
    <col min="15176" max="15176" customWidth="1" width="8"/>
    <col min="15177" max="15177" customWidth="1" width="8"/>
    <col min="15178" max="15178" customWidth="1" width="8"/>
    <col min="15179" max="15179" customWidth="1" width="8"/>
    <col min="15180" max="15180" customWidth="1" width="8"/>
    <col min="15181" max="15181" customWidth="1" width="8"/>
    <col min="15182" max="15182" customWidth="1" width="8"/>
    <col min="15183" max="15183" customWidth="1" width="8"/>
    <col min="15184" max="15184" customWidth="1" width="8"/>
    <col min="15185" max="15185" customWidth="1" width="8"/>
    <col min="15186" max="15186" customWidth="1" width="8"/>
    <col min="15187" max="15187" customWidth="1" width="8"/>
    <col min="15188" max="15188" customWidth="1" width="8"/>
    <col min="15189" max="15189" customWidth="1" width="8"/>
    <col min="15190" max="15190" customWidth="1" width="8"/>
    <col min="15191" max="15191" customWidth="1" width="8"/>
    <col min="15192" max="15192" customWidth="1" width="8"/>
    <col min="15193" max="15193" customWidth="1" width="8"/>
    <col min="15194" max="15194" customWidth="1" width="8"/>
    <col min="15195" max="15195" customWidth="1" width="8"/>
    <col min="15196" max="15196" customWidth="1" width="8"/>
    <col min="15197" max="15197" customWidth="1" width="8"/>
    <col min="15198" max="15198" customWidth="1" width="8"/>
    <col min="15199" max="15199" customWidth="1" width="8"/>
    <col min="15200" max="15200" customWidth="1" width="8"/>
    <col min="15201" max="15201" customWidth="1" width="8"/>
    <col min="15202" max="15202" customWidth="1" width="8"/>
    <col min="15203" max="15203" customWidth="1" width="8"/>
    <col min="15204" max="15204" customWidth="1" width="8"/>
    <col min="15205" max="15205" customWidth="1" width="8"/>
    <col min="15206" max="15206" customWidth="1" width="8"/>
    <col min="15207" max="15207" customWidth="1" width="8"/>
    <col min="15208" max="15208" customWidth="1" width="8"/>
    <col min="15209" max="15209" customWidth="1" width="8"/>
    <col min="15210" max="15210" customWidth="1" width="8"/>
    <col min="15211" max="15211" customWidth="1" width="8"/>
    <col min="15212" max="15212" customWidth="1" width="8"/>
    <col min="15213" max="15213" customWidth="1" width="8"/>
    <col min="15214" max="15214" customWidth="1" width="8"/>
    <col min="15215" max="15215" customWidth="1" width="8"/>
    <col min="15216" max="15216" customWidth="1" width="8"/>
    <col min="15217" max="15217" customWidth="1" width="8"/>
    <col min="15218" max="15218" customWidth="1" width="8"/>
    <col min="15219" max="15219" customWidth="1" width="8"/>
    <col min="15220" max="15220" customWidth="1" width="8"/>
    <col min="15221" max="15221" customWidth="1" width="8"/>
    <col min="15222" max="15222" customWidth="1" width="8"/>
    <col min="15223" max="15223" customWidth="1" width="8"/>
    <col min="15224" max="15224" customWidth="1" width="8"/>
    <col min="15225" max="15225" customWidth="1" width="8"/>
    <col min="15226" max="15226" customWidth="1" width="8"/>
    <col min="15227" max="15227" customWidth="1" width="8"/>
    <col min="15228" max="15228" customWidth="1" width="8"/>
    <col min="15229" max="15229" customWidth="1" width="8"/>
    <col min="15230" max="15230" customWidth="1" width="8"/>
    <col min="15231" max="15231" customWidth="1" width="8"/>
    <col min="15232" max="15232" customWidth="1" width="8"/>
    <col min="15233" max="15233" customWidth="1" width="8"/>
    <col min="15234" max="15234" customWidth="1" width="8"/>
    <col min="15235" max="15235" customWidth="1" width="8"/>
    <col min="15236" max="15236" customWidth="1" width="8"/>
    <col min="15237" max="15237" customWidth="1" width="8"/>
    <col min="15238" max="15238" customWidth="1" width="8"/>
    <col min="15239" max="15239" customWidth="1" width="8"/>
    <col min="15240" max="15240" customWidth="1" width="8"/>
    <col min="15241" max="15241" customWidth="1" width="8"/>
    <col min="15242" max="15242" customWidth="1" width="8"/>
    <col min="15243" max="15243" customWidth="1" width="8"/>
    <col min="15244" max="15244" customWidth="1" width="8"/>
    <col min="15245" max="15245" customWidth="1" width="8"/>
    <col min="15246" max="15246" customWidth="1" width="8"/>
    <col min="15247" max="15247" customWidth="1" width="8"/>
    <col min="15248" max="15248" customWidth="1" width="8"/>
    <col min="15249" max="15249" customWidth="1" width="8"/>
    <col min="15250" max="15250" customWidth="1" width="8"/>
    <col min="15251" max="15251" customWidth="1" width="8"/>
    <col min="15252" max="15252" customWidth="1" width="8"/>
    <col min="15253" max="15253" customWidth="1" width="8"/>
    <col min="15254" max="15254" customWidth="1" width="8"/>
    <col min="15255" max="15255" customWidth="1" width="8"/>
    <col min="15256" max="15256" customWidth="1" width="8"/>
    <col min="15257" max="15257" customWidth="1" width="8"/>
    <col min="15258" max="15258" customWidth="1" width="8"/>
    <col min="15259" max="15259" customWidth="1" width="8"/>
    <col min="15260" max="15260" customWidth="1" width="8"/>
    <col min="15261" max="15261" customWidth="1" width="8"/>
    <col min="15262" max="15262" customWidth="1" width="8"/>
    <col min="15263" max="15263" customWidth="1" width="8"/>
    <col min="15264" max="15264" customWidth="1" width="8"/>
    <col min="15265" max="15265" customWidth="1" width="8"/>
    <col min="15266" max="15266" customWidth="1" width="8"/>
    <col min="15267" max="15267" customWidth="1" width="8"/>
    <col min="15268" max="15268" customWidth="1" width="8"/>
    <col min="15269" max="15269" customWidth="1" width="8"/>
    <col min="15270" max="15270" customWidth="1" width="8"/>
    <col min="15271" max="15271" customWidth="1" width="8"/>
    <col min="15272" max="15272" customWidth="1" width="8"/>
    <col min="15273" max="15273" customWidth="1" width="8"/>
    <col min="15274" max="15274" customWidth="1" width="8"/>
    <col min="15275" max="15275" customWidth="1" width="8"/>
    <col min="15276" max="15276" customWidth="1" width="8"/>
    <col min="15277" max="15277" customWidth="1" width="8"/>
    <col min="15278" max="15278" customWidth="1" width="8"/>
    <col min="15279" max="15279" customWidth="1" width="8"/>
    <col min="15280" max="15280" customWidth="1" width="8"/>
    <col min="15281" max="15281" customWidth="1" width="8"/>
    <col min="15282" max="15282" customWidth="1" width="8"/>
    <col min="15283" max="15283" customWidth="1" width="8"/>
    <col min="15284" max="15284" customWidth="1" width="8"/>
    <col min="15285" max="15285" customWidth="1" width="8"/>
    <col min="15286" max="15286" customWidth="1" width="8"/>
    <col min="15287" max="15287" customWidth="1" width="8"/>
    <col min="15288" max="15288" customWidth="1" width="8"/>
    <col min="15289" max="15289" customWidth="1" width="8"/>
    <col min="15290" max="15290" customWidth="1" width="8"/>
    <col min="15291" max="15291" customWidth="1" width="8"/>
    <col min="15292" max="15292" customWidth="1" width="8"/>
    <col min="15293" max="15293" customWidth="1" width="8"/>
    <col min="15294" max="15294" customWidth="1" width="8"/>
    <col min="15295" max="15295" customWidth="1" width="8"/>
    <col min="15296" max="15296" customWidth="1" width="8"/>
    <col min="15297" max="15297" customWidth="1" width="8"/>
    <col min="15298" max="15298" customWidth="1" width="8"/>
    <col min="15299" max="15299" customWidth="1" width="8"/>
    <col min="15300" max="15300" customWidth="1" width="8"/>
    <col min="15301" max="15301" customWidth="1" width="8"/>
    <col min="15302" max="15302" customWidth="1" width="8"/>
    <col min="15303" max="15303" customWidth="1" width="8"/>
    <col min="15304" max="15304" customWidth="1" width="8"/>
    <col min="15305" max="15305" customWidth="1" width="8"/>
    <col min="15306" max="15306" customWidth="1" width="8"/>
    <col min="15307" max="15307" customWidth="1" width="8"/>
    <col min="15308" max="15308" customWidth="1" width="8"/>
    <col min="15309" max="15309" customWidth="1" width="8"/>
    <col min="15310" max="15310" customWidth="1" width="8"/>
    <col min="15311" max="15311" customWidth="1" width="8"/>
    <col min="15312" max="15312" customWidth="1" width="8"/>
    <col min="15313" max="15313" customWidth="1" width="8"/>
    <col min="15314" max="15314" customWidth="1" width="8"/>
    <col min="15315" max="15315" customWidth="1" width="8"/>
    <col min="15316" max="15316" customWidth="1" width="8"/>
    <col min="15317" max="15317" customWidth="1" width="8"/>
    <col min="15318" max="15318" customWidth="1" width="8"/>
    <col min="15319" max="15319" customWidth="1" width="8"/>
    <col min="15320" max="15320" customWidth="1" width="8"/>
    <col min="15321" max="15321" customWidth="1" width="8"/>
    <col min="15322" max="15322" customWidth="1" width="8"/>
    <col min="15323" max="15323" customWidth="1" width="8"/>
    <col min="15324" max="15324" customWidth="1" width="8"/>
    <col min="15325" max="15325" customWidth="1" width="8"/>
    <col min="15326" max="15326" customWidth="1" width="8"/>
    <col min="15327" max="15327" customWidth="1" width="8"/>
    <col min="15328" max="15328" customWidth="1" width="8"/>
    <col min="15329" max="15329" customWidth="1" width="8"/>
    <col min="15330" max="15330" customWidth="1" width="8"/>
    <col min="15331" max="15331" customWidth="1" width="8"/>
    <col min="15332" max="15332" customWidth="1" width="8"/>
    <col min="15333" max="15333" customWidth="1" width="8"/>
    <col min="15334" max="15334" customWidth="1" width="8"/>
    <col min="15335" max="15335" customWidth="1" width="8"/>
    <col min="15336" max="15336" customWidth="1" width="8"/>
    <col min="15337" max="15337" customWidth="1" width="8"/>
    <col min="15338" max="15338" customWidth="1" width="8"/>
    <col min="15339" max="15339" customWidth="1" width="8"/>
    <col min="15340" max="15340" customWidth="1" width="8"/>
    <col min="15341" max="15341" customWidth="1" width="8"/>
    <col min="15342" max="15342" customWidth="1" width="8"/>
    <col min="15343" max="15343" customWidth="1" width="8"/>
    <col min="15344" max="15344" customWidth="1" width="8"/>
    <col min="15345" max="15345" customWidth="1" width="8"/>
    <col min="15346" max="15346" customWidth="1" width="8"/>
    <col min="15347" max="15347" customWidth="1" width="8"/>
    <col min="15348" max="15348" customWidth="1" width="8"/>
    <col min="15349" max="15349" customWidth="1" width="8"/>
    <col min="15350" max="15350" customWidth="1" width="8"/>
    <col min="15351" max="15351" customWidth="1" width="8"/>
    <col min="15352" max="15352" customWidth="1" width="8"/>
    <col min="15353" max="15353" customWidth="1" width="8"/>
    <col min="15354" max="15354" customWidth="1" width="8"/>
    <col min="15355" max="15355" customWidth="1" width="8"/>
    <col min="15356" max="15356" customWidth="1" width="8"/>
    <col min="15357" max="15357" customWidth="1" width="8"/>
    <col min="15358" max="15358" customWidth="1" width="8"/>
    <col min="15359" max="15359" customWidth="1" width="8"/>
    <col min="15360" max="15360" customWidth="1" width="8"/>
    <col min="15361" max="15361" customWidth="1" width="8"/>
    <col min="15362" max="15362" customWidth="1" width="8"/>
    <col min="15363" max="15363" customWidth="1" width="8"/>
    <col min="15364" max="15364" customWidth="1" width="8"/>
    <col min="15365" max="15365" customWidth="1" width="8"/>
    <col min="15366" max="15366" customWidth="1" width="8"/>
    <col min="15367" max="15367" customWidth="1" width="8"/>
    <col min="15368" max="15368" customWidth="1" width="8"/>
    <col min="15369" max="15369" customWidth="1" width="8"/>
    <col min="15370" max="15370" customWidth="1" width="8"/>
    <col min="15371" max="15371" customWidth="1" width="8"/>
    <col min="15372" max="15372" customWidth="1" width="8"/>
    <col min="15373" max="15373" customWidth="1" width="8"/>
    <col min="15374" max="15374" customWidth="1" width="8"/>
    <col min="15375" max="15375" customWidth="1" width="8"/>
    <col min="15376" max="15376" customWidth="1" width="8"/>
    <col min="15377" max="15377" customWidth="1" width="8"/>
    <col min="15378" max="15378" customWidth="1" width="8"/>
    <col min="15379" max="15379" customWidth="1" width="8"/>
    <col min="15380" max="15380" customWidth="1" width="8"/>
    <col min="15381" max="15381" customWidth="1" width="8"/>
    <col min="15382" max="15382" customWidth="1" width="8"/>
    <col min="15383" max="15383" customWidth="1" width="8"/>
    <col min="15384" max="15384" customWidth="1" width="8"/>
    <col min="15385" max="15385" customWidth="1" width="8"/>
    <col min="15386" max="15386" customWidth="1" width="8"/>
    <col min="15387" max="15387" customWidth="1" width="8"/>
    <col min="15388" max="15388" customWidth="1" width="8"/>
    <col min="15389" max="15389" customWidth="1" width="8"/>
    <col min="15390" max="15390" customWidth="1" width="8"/>
    <col min="15391" max="15391" customWidth="1" width="8"/>
    <col min="15392" max="15392" customWidth="1" width="8"/>
    <col min="15393" max="15393" customWidth="1" width="8"/>
    <col min="15394" max="15394" customWidth="1" width="8"/>
    <col min="15395" max="15395" customWidth="1" width="8"/>
    <col min="15396" max="15396" customWidth="1" width="8"/>
    <col min="15397" max="15397" customWidth="1" width="8"/>
    <col min="15398" max="15398" customWidth="1" width="8"/>
    <col min="15399" max="15399" customWidth="1" width="8"/>
    <col min="15400" max="15400" customWidth="1" width="8"/>
    <col min="15401" max="15401" customWidth="1" width="8"/>
    <col min="15402" max="15402" customWidth="1" width="8"/>
    <col min="15403" max="15403" customWidth="1" width="8"/>
    <col min="15404" max="15404" customWidth="1" width="8"/>
    <col min="15405" max="15405" customWidth="1" width="8"/>
    <col min="15406" max="15406" customWidth="1" width="8"/>
    <col min="15407" max="15407" customWidth="1" width="8"/>
    <col min="15408" max="15408" customWidth="1" width="8"/>
    <col min="15409" max="15409" customWidth="1" width="8"/>
    <col min="15410" max="15410" customWidth="1" width="8"/>
    <col min="15411" max="15411" customWidth="1" width="8"/>
    <col min="15412" max="15412" customWidth="1" width="8"/>
    <col min="15413" max="15413" customWidth="1" width="8"/>
    <col min="15414" max="15414" customWidth="1" width="8"/>
    <col min="15415" max="15415" customWidth="1" width="8"/>
    <col min="15416" max="15416" customWidth="1" width="8"/>
    <col min="15417" max="15417" customWidth="1" width="8"/>
    <col min="15418" max="15418" customWidth="1" width="8"/>
    <col min="15419" max="15419" customWidth="1" width="8"/>
    <col min="15420" max="15420" customWidth="1" width="8"/>
    <col min="15421" max="15421" customWidth="1" width="8"/>
    <col min="15422" max="15422" customWidth="1" width="8"/>
    <col min="15423" max="15423" customWidth="1" width="8"/>
    <col min="15424" max="15424" customWidth="1" width="8"/>
    <col min="15425" max="15425" customWidth="1" width="8"/>
    <col min="15426" max="15426" customWidth="1" width="8"/>
    <col min="15427" max="15427" customWidth="1" width="8"/>
    <col min="15428" max="15428" customWidth="1" width="8"/>
    <col min="15429" max="15429" customWidth="1" width="8"/>
    <col min="15430" max="15430" customWidth="1" width="8"/>
    <col min="15431" max="15431" customWidth="1" width="8"/>
    <col min="15432" max="15432" customWidth="1" width="8"/>
    <col min="15433" max="15433" customWidth="1" width="8"/>
    <col min="15434" max="15434" customWidth="1" width="8"/>
    <col min="15435" max="15435" customWidth="1" width="8"/>
    <col min="15436" max="15436" customWidth="1" width="8"/>
    <col min="15437" max="15437" customWidth="1" width="8"/>
    <col min="15438" max="15438" customWidth="1" width="8"/>
    <col min="15439" max="15439" customWidth="1" width="8"/>
    <col min="15440" max="15440" customWidth="1" width="8"/>
    <col min="15441" max="15441" customWidth="1" width="8"/>
    <col min="15442" max="15442" customWidth="1" width="8"/>
    <col min="15443" max="15443" customWidth="1" width="8"/>
    <col min="15444" max="15444" customWidth="1" width="8"/>
    <col min="15445" max="15445" customWidth="1" width="8"/>
    <col min="15446" max="15446" customWidth="1" width="8"/>
    <col min="15447" max="15447" customWidth="1" width="8"/>
    <col min="15448" max="15448" customWidth="1" width="8"/>
    <col min="15449" max="15449" customWidth="1" width="8"/>
    <col min="15450" max="15450" customWidth="1" width="8"/>
    <col min="15451" max="15451" customWidth="1" width="8"/>
    <col min="15452" max="15452" customWidth="1" width="8"/>
    <col min="15453" max="15453" customWidth="1" width="8"/>
    <col min="15454" max="15454" customWidth="1" width="8"/>
    <col min="15455" max="15455" customWidth="1" width="8"/>
    <col min="15456" max="15456" customWidth="1" width="8"/>
    <col min="15457" max="15457" customWidth="1" width="8"/>
    <col min="15458" max="15458" customWidth="1" width="8"/>
    <col min="15459" max="15459" customWidth="1" width="8"/>
    <col min="15460" max="15460" customWidth="1" width="8"/>
    <col min="15461" max="15461" customWidth="1" width="8"/>
    <col min="15462" max="15462" customWidth="1" width="8"/>
    <col min="15463" max="15463" customWidth="1" width="8"/>
    <col min="15464" max="15464" customWidth="1" width="8"/>
    <col min="15465" max="15465" customWidth="1" width="8"/>
    <col min="15466" max="15466" customWidth="1" width="8"/>
    <col min="15467" max="15467" customWidth="1" width="8"/>
    <col min="15468" max="15468" customWidth="1" width="8"/>
    <col min="15469" max="15469" customWidth="1" width="8"/>
    <col min="15470" max="15470" customWidth="1" width="8"/>
    <col min="15471" max="15471" customWidth="1" width="8"/>
    <col min="15472" max="15472" customWidth="1" width="8"/>
    <col min="15473" max="15473" customWidth="1" width="8"/>
    <col min="15474" max="15474" customWidth="1" width="8"/>
    <col min="15475" max="15475" customWidth="1" width="8"/>
    <col min="15476" max="15476" customWidth="1" width="8"/>
    <col min="15477" max="15477" customWidth="1" width="8"/>
    <col min="15478" max="15478" customWidth="1" width="8"/>
    <col min="15479" max="15479" customWidth="1" width="8"/>
    <col min="15480" max="15480" customWidth="1" width="8"/>
    <col min="15481" max="15481" customWidth="1" width="8"/>
    <col min="15482" max="15482" customWidth="1" width="8"/>
    <col min="15483" max="15483" customWidth="1" width="8"/>
    <col min="15484" max="15484" customWidth="1" width="8"/>
    <col min="15485" max="15485" customWidth="1" width="8"/>
    <col min="15486" max="15486" customWidth="1" width="8"/>
    <col min="15487" max="15487" customWidth="1" width="8"/>
    <col min="15488" max="15488" customWidth="1" width="8"/>
    <col min="15489" max="15489" customWidth="1" width="8"/>
    <col min="15490" max="15490" customWidth="1" width="8"/>
    <col min="15491" max="15491" customWidth="1" width="8"/>
    <col min="15492" max="15492" customWidth="1" width="8"/>
    <col min="15493" max="15493" customWidth="1" width="8"/>
    <col min="15494" max="15494" customWidth="1" width="8"/>
    <col min="15495" max="15495" customWidth="1" width="8"/>
    <col min="15496" max="15496" customWidth="1" width="8"/>
    <col min="15497" max="15497" customWidth="1" width="8"/>
    <col min="15498" max="15498" customWidth="1" width="8"/>
    <col min="15499" max="15499" customWidth="1" width="8"/>
    <col min="15500" max="15500" customWidth="1" width="8"/>
    <col min="15501" max="15501" customWidth="1" width="8"/>
    <col min="15502" max="15502" customWidth="1" width="8"/>
    <col min="15503" max="15503" customWidth="1" width="8"/>
    <col min="15504" max="15504" customWidth="1" width="8"/>
    <col min="15505" max="15505" customWidth="1" width="8"/>
    <col min="15506" max="15506" customWidth="1" width="8"/>
    <col min="15507" max="15507" customWidth="1" width="8"/>
    <col min="15508" max="15508" customWidth="1" width="8"/>
    <col min="15509" max="15509" customWidth="1" width="8"/>
    <col min="15510" max="15510" customWidth="1" width="8"/>
    <col min="15511" max="15511" customWidth="1" width="8"/>
    <col min="15512" max="15512" customWidth="1" width="8"/>
    <col min="15513" max="15513" customWidth="1" width="8"/>
    <col min="15514" max="15514" customWidth="1" width="8"/>
    <col min="15515" max="15515" customWidth="1" width="8"/>
    <col min="15516" max="15516" customWidth="1" width="8"/>
    <col min="15517" max="15517" customWidth="1" width="8"/>
    <col min="15518" max="15518" customWidth="1" width="8"/>
    <col min="15519" max="15519" customWidth="1" width="8"/>
    <col min="15520" max="15520" customWidth="1" width="8"/>
    <col min="15521" max="15521" customWidth="1" width="8"/>
    <col min="15522" max="15522" customWidth="1" width="8"/>
    <col min="15523" max="15523" customWidth="1" width="8"/>
    <col min="15524" max="15524" customWidth="1" width="8"/>
    <col min="15525" max="15525" customWidth="1" width="8"/>
    <col min="15526" max="15526" customWidth="1" width="8"/>
    <col min="15527" max="15527" customWidth="1" width="8"/>
    <col min="15528" max="15528" customWidth="1" width="8"/>
    <col min="15529" max="15529" customWidth="1" width="8"/>
    <col min="15530" max="15530" customWidth="1" width="8"/>
    <col min="15531" max="15531" customWidth="1" width="8"/>
    <col min="15532" max="15532" customWidth="1" width="8"/>
    <col min="15533" max="15533" customWidth="1" width="8"/>
    <col min="15534" max="15534" customWidth="1" width="8"/>
    <col min="15535" max="15535" customWidth="1" width="8"/>
    <col min="15536" max="15536" customWidth="1" width="8"/>
    <col min="15537" max="15537" customWidth="1" width="8"/>
    <col min="15538" max="15538" customWidth="1" width="8"/>
    <col min="15539" max="15539" customWidth="1" width="8"/>
    <col min="15540" max="15540" customWidth="1" width="8"/>
    <col min="15541" max="15541" customWidth="1" width="8"/>
    <col min="15542" max="15542" customWidth="1" width="8"/>
    <col min="15543" max="15543" customWidth="1" width="8"/>
    <col min="15544" max="15544" customWidth="1" width="8"/>
    <col min="15545" max="15545" customWidth="1" width="8"/>
    <col min="15546" max="15546" customWidth="1" width="8"/>
    <col min="15547" max="15547" customWidth="1" width="8"/>
    <col min="15548" max="15548" customWidth="1" width="8"/>
    <col min="15549" max="15549" customWidth="1" width="8"/>
    <col min="15550" max="15550" customWidth="1" width="8"/>
    <col min="15551" max="15551" customWidth="1" width="8"/>
    <col min="15552" max="15552" customWidth="1" width="8"/>
    <col min="15553" max="15553" customWidth="1" width="8"/>
    <col min="15554" max="15554" customWidth="1" width="8"/>
    <col min="15555" max="15555" customWidth="1" width="8"/>
    <col min="15556" max="15556" customWidth="1" width="8"/>
    <col min="15557" max="15557" customWidth="1" width="8"/>
    <col min="15558" max="15558" customWidth="1" width="8"/>
    <col min="15559" max="15559" customWidth="1" width="8"/>
    <col min="15560" max="15560" customWidth="1" width="8"/>
    <col min="15561" max="15561" customWidth="1" width="8"/>
    <col min="15562" max="15562" customWidth="1" width="8"/>
    <col min="15563" max="15563" customWidth="1" width="8"/>
    <col min="15564" max="15564" customWidth="1" width="8"/>
    <col min="15565" max="15565" customWidth="1" width="8"/>
    <col min="15566" max="15566" customWidth="1" width="8"/>
    <col min="15567" max="15567" customWidth="1" width="8"/>
    <col min="15568" max="15568" customWidth="1" width="8"/>
    <col min="15569" max="15569" customWidth="1" width="8"/>
    <col min="15570" max="15570" customWidth="1" width="8"/>
    <col min="15571" max="15571" customWidth="1" width="8"/>
    <col min="15572" max="15572" customWidth="1" width="8"/>
    <col min="15573" max="15573" customWidth="1" width="8"/>
    <col min="15574" max="15574" customWidth="1" width="8"/>
    <col min="15575" max="15575" customWidth="1" width="8"/>
    <col min="15576" max="15576" customWidth="1" width="8"/>
    <col min="15577" max="15577" customWidth="1" width="8"/>
    <col min="15578" max="15578" customWidth="1" width="8"/>
    <col min="15579" max="15579" customWidth="1" width="8"/>
    <col min="15580" max="15580" customWidth="1" width="8"/>
    <col min="15581" max="15581" customWidth="1" width="8"/>
    <col min="15582" max="15582" customWidth="1" width="8"/>
    <col min="15583" max="15583" customWidth="1" width="8"/>
    <col min="15584" max="15584" customWidth="1" width="8"/>
    <col min="15585" max="15585" customWidth="1" width="8"/>
    <col min="15586" max="15586" customWidth="1" width="8"/>
    <col min="15587" max="15587" customWidth="1" width="8"/>
    <col min="15588" max="15588" customWidth="1" width="8"/>
    <col min="15589" max="15589" customWidth="1" width="8"/>
    <col min="15590" max="15590" customWidth="1" width="8"/>
    <col min="15591" max="15591" customWidth="1" width="8"/>
    <col min="15592" max="15592" customWidth="1" width="8"/>
    <col min="15593" max="15593" customWidth="1" width="8"/>
    <col min="15594" max="15594" customWidth="1" width="8"/>
    <col min="15595" max="15595" customWidth="1" width="8"/>
    <col min="15596" max="15596" customWidth="1" width="8"/>
    <col min="15597" max="15597" customWidth="1" width="8"/>
    <col min="15598" max="15598" customWidth="1" width="8"/>
    <col min="15599" max="15599" customWidth="1" width="8"/>
    <col min="15600" max="15600" customWidth="1" width="8"/>
    <col min="15601" max="15601" customWidth="1" width="8"/>
    <col min="15602" max="15602" customWidth="1" width="8"/>
    <col min="15603" max="15603" customWidth="1" width="8"/>
    <col min="15604" max="15604" customWidth="1" width="8"/>
    <col min="15605" max="15605" customWidth="1" width="8"/>
    <col min="15606" max="15606" customWidth="1" width="8"/>
    <col min="15607" max="15607" customWidth="1" width="8"/>
    <col min="15608" max="15608" customWidth="1" width="8"/>
    <col min="15609" max="15609" customWidth="1" width="8"/>
    <col min="15610" max="15610" customWidth="1" width="8"/>
    <col min="15611" max="15611" customWidth="1" width="8"/>
    <col min="15612" max="15612" customWidth="1" width="8"/>
    <col min="15613" max="15613" customWidth="1" width="8"/>
    <col min="15614" max="15614" customWidth="1" width="8"/>
    <col min="15615" max="15615" customWidth="1" width="8"/>
    <col min="15616" max="15616" customWidth="1" width="8"/>
    <col min="15617" max="15617" customWidth="1" width="8"/>
    <col min="15618" max="15618" customWidth="1" width="8"/>
    <col min="15619" max="15619" customWidth="1" width="8"/>
    <col min="15620" max="15620" customWidth="1" width="8"/>
    <col min="15621" max="15621" customWidth="1" width="8"/>
    <col min="15622" max="15622" customWidth="1" width="8"/>
    <col min="15623" max="15623" customWidth="1" width="8"/>
    <col min="15624" max="15624" customWidth="1" width="8"/>
    <col min="15625" max="15625" customWidth="1" width="8"/>
    <col min="15626" max="15626" customWidth="1" width="8"/>
    <col min="15627" max="15627" customWidth="1" width="8"/>
    <col min="15628" max="15628" customWidth="1" width="8"/>
    <col min="15629" max="15629" customWidth="1" width="8"/>
    <col min="15630" max="15630" customWidth="1" width="8"/>
    <col min="15631" max="15631" customWidth="1" width="8"/>
    <col min="15632" max="15632" customWidth="1" width="8"/>
    <col min="15633" max="15633" customWidth="1" width="8"/>
    <col min="15634" max="15634" customWidth="1" width="8"/>
    <col min="15635" max="15635" customWidth="1" width="8"/>
    <col min="15636" max="15636" customWidth="1" width="8"/>
    <col min="15637" max="15637" customWidth="1" width="8"/>
    <col min="15638" max="15638" customWidth="1" width="8"/>
    <col min="15639" max="15639" customWidth="1" width="8"/>
    <col min="15640" max="15640" customWidth="1" width="8"/>
    <col min="15641" max="15641" customWidth="1" width="8"/>
    <col min="15642" max="15642" customWidth="1" width="8"/>
    <col min="15643" max="15643" customWidth="1" width="8"/>
    <col min="15644" max="15644" customWidth="1" width="8"/>
    <col min="15645" max="15645" customWidth="1" width="8"/>
    <col min="15646" max="15646" customWidth="1" width="8"/>
    <col min="15647" max="15647" customWidth="1" width="8"/>
    <col min="15648" max="15648" customWidth="1" width="8"/>
    <col min="15649" max="15649" customWidth="1" width="8"/>
    <col min="15650" max="15650" customWidth="1" width="8"/>
    <col min="15651" max="15651" customWidth="1" width="8"/>
    <col min="15652" max="15652" customWidth="1" width="8"/>
    <col min="15653" max="15653" customWidth="1" width="8"/>
    <col min="15654" max="15654" customWidth="1" width="8"/>
    <col min="15655" max="15655" customWidth="1" width="8"/>
    <col min="15656" max="15656" customWidth="1" width="8"/>
    <col min="15657" max="15657" customWidth="1" width="8"/>
    <col min="15658" max="15658" customWidth="1" width="8"/>
    <col min="15659" max="15659" customWidth="1" width="8"/>
    <col min="15660" max="15660" customWidth="1" width="8"/>
    <col min="15661" max="15661" customWidth="1" width="8"/>
    <col min="15662" max="15662" customWidth="1" width="8"/>
    <col min="15663" max="15663" customWidth="1" width="8"/>
    <col min="15664" max="15664" customWidth="1" width="8"/>
    <col min="15665" max="15665" customWidth="1" width="8"/>
    <col min="15666" max="15666" customWidth="1" width="8"/>
    <col min="15667" max="15667" customWidth="1" width="8"/>
    <col min="15668" max="15668" customWidth="1" width="8"/>
    <col min="15669" max="15669" customWidth="1" width="8"/>
    <col min="15670" max="15670" customWidth="1" width="8"/>
    <col min="15671" max="15671" customWidth="1" width="8"/>
    <col min="15672" max="15672" customWidth="1" width="8"/>
    <col min="15673" max="15673" customWidth="1" width="8"/>
    <col min="15674" max="15674" customWidth="1" width="8"/>
    <col min="15675" max="15675" customWidth="1" width="8"/>
    <col min="15676" max="15676" customWidth="1" width="8"/>
    <col min="15677" max="15677" customWidth="1" width="8"/>
    <col min="15678" max="15678" customWidth="1" width="8"/>
    <col min="15679" max="15679" customWidth="1" width="8"/>
    <col min="15680" max="15680" customWidth="1" width="8"/>
    <col min="15681" max="15681" customWidth="1" width="8"/>
    <col min="15682" max="15682" customWidth="1" width="8"/>
    <col min="15683" max="15683" customWidth="1" width="8"/>
    <col min="15684" max="15684" customWidth="1" width="8"/>
    <col min="15685" max="15685" customWidth="1" width="8"/>
    <col min="15686" max="15686" customWidth="1" width="8"/>
    <col min="15687" max="15687" customWidth="1" width="8"/>
    <col min="15688" max="15688" customWidth="1" width="8"/>
    <col min="15689" max="15689" customWidth="1" width="8"/>
    <col min="15690" max="15690" customWidth="1" width="8"/>
    <col min="15691" max="15691" customWidth="1" width="8"/>
    <col min="15692" max="15692" customWidth="1" width="8"/>
    <col min="15693" max="15693" customWidth="1" width="8"/>
    <col min="15694" max="15694" customWidth="1" width="8"/>
    <col min="15695" max="15695" customWidth="1" width="8"/>
    <col min="15696" max="15696" customWidth="1" width="8"/>
    <col min="15697" max="15697" customWidth="1" width="8"/>
    <col min="15698" max="15698" customWidth="1" width="8"/>
    <col min="15699" max="15699" customWidth="1" width="8"/>
    <col min="15700" max="15700" customWidth="1" width="8"/>
    <col min="15701" max="15701" customWidth="1" width="8"/>
    <col min="15702" max="15702" customWidth="1" width="8"/>
    <col min="15703" max="15703" customWidth="1" width="8"/>
    <col min="15704" max="15704" customWidth="1" width="8"/>
    <col min="15705" max="15705" customWidth="1" width="8"/>
    <col min="15706" max="15706" customWidth="1" width="8"/>
    <col min="15707" max="15707" customWidth="1" width="8"/>
    <col min="15708" max="15708" customWidth="1" width="8"/>
    <col min="15709" max="15709" customWidth="1" width="8"/>
    <col min="15710" max="15710" customWidth="1" width="8"/>
    <col min="15711" max="15711" customWidth="1" width="8"/>
    <col min="15712" max="15712" customWidth="1" width="8"/>
    <col min="15713" max="15713" customWidth="1" width="8"/>
    <col min="15714" max="15714" customWidth="1" width="8"/>
    <col min="15715" max="15715" customWidth="1" width="8"/>
    <col min="15716" max="15716" customWidth="1" width="8"/>
    <col min="15717" max="15717" customWidth="1" width="8"/>
    <col min="15718" max="15718" customWidth="1" width="8"/>
    <col min="15719" max="15719" customWidth="1" width="8"/>
    <col min="15720" max="15720" customWidth="1" width="8"/>
    <col min="15721" max="15721" customWidth="1" width="8"/>
    <col min="15722" max="15722" customWidth="1" width="8"/>
    <col min="15723" max="15723" customWidth="1" width="8"/>
    <col min="15724" max="15724" customWidth="1" width="8"/>
    <col min="15725" max="15725" customWidth="1" width="8"/>
    <col min="15726" max="15726" customWidth="1" width="8"/>
    <col min="15727" max="15727" customWidth="1" width="8"/>
    <col min="15728" max="15728" customWidth="1" width="8"/>
    <col min="15729" max="15729" customWidth="1" width="8"/>
    <col min="15730" max="15730" customWidth="1" width="8"/>
    <col min="15731" max="15731" customWidth="1" width="8"/>
    <col min="15732" max="15732" customWidth="1" width="8"/>
    <col min="15733" max="15733" customWidth="1" width="8"/>
    <col min="15734" max="15734" customWidth="1" width="8"/>
    <col min="15735" max="15735" customWidth="1" width="8"/>
    <col min="15736" max="15736" customWidth="1" width="8"/>
    <col min="15737" max="15737" customWidth="1" width="8"/>
    <col min="15738" max="15738" customWidth="1" width="8"/>
    <col min="15739" max="15739" customWidth="1" width="8"/>
    <col min="15740" max="15740" customWidth="1" width="8"/>
    <col min="15741" max="15741" customWidth="1" width="8"/>
    <col min="15742" max="15742" customWidth="1" width="8"/>
    <col min="15743" max="15743" customWidth="1" width="8"/>
    <col min="15744" max="15744" customWidth="1" width="8"/>
    <col min="15745" max="15745" customWidth="1" width="8"/>
    <col min="15746" max="15746" customWidth="1" width="8"/>
    <col min="15747" max="15747" customWidth="1" width="8"/>
    <col min="15748" max="15748" customWidth="1" width="8"/>
    <col min="15749" max="15749" customWidth="1" width="8"/>
    <col min="15750" max="15750" customWidth="1" width="8"/>
    <col min="15751" max="15751" customWidth="1" width="8"/>
    <col min="15752" max="15752" customWidth="1" width="8"/>
    <col min="15753" max="15753" customWidth="1" width="8"/>
    <col min="15754" max="15754" customWidth="1" width="8"/>
    <col min="15755" max="15755" customWidth="1" width="8"/>
    <col min="15756" max="15756" customWidth="1" width="8"/>
    <col min="15757" max="15757" customWidth="1" width="8"/>
    <col min="15758" max="15758" customWidth="1" width="8"/>
    <col min="15759" max="15759" customWidth="1" width="8"/>
    <col min="15760" max="15760" customWidth="1" width="8"/>
    <col min="15761" max="15761" customWidth="1" width="8"/>
    <col min="15762" max="15762" customWidth="1" width="8"/>
    <col min="15763" max="15763" customWidth="1" width="8"/>
    <col min="15764" max="15764" customWidth="1" width="8"/>
    <col min="15765" max="15765" customWidth="1" width="8"/>
    <col min="15766" max="15766" customWidth="1" width="8"/>
    <col min="15767" max="15767" customWidth="1" width="8"/>
    <col min="15768" max="15768" customWidth="1" width="8"/>
    <col min="15769" max="15769" customWidth="1" width="8"/>
    <col min="15770" max="15770" customWidth="1" width="8"/>
    <col min="15771" max="15771" customWidth="1" width="8"/>
    <col min="15772" max="15772" customWidth="1" width="8"/>
    <col min="15773" max="15773" customWidth="1" width="8"/>
    <col min="15774" max="15774" customWidth="1" width="8"/>
    <col min="15775" max="15775" customWidth="1" width="8"/>
    <col min="15776" max="15776" customWidth="1" width="8"/>
    <col min="15777" max="15777" customWidth="1" width="8"/>
    <col min="15778" max="15778" customWidth="1" width="8"/>
    <col min="15779" max="15779" customWidth="1" width="8"/>
    <col min="15780" max="15780" customWidth="1" width="8"/>
    <col min="15781" max="15781" customWidth="1" width="8"/>
    <col min="15782" max="15782" customWidth="1" width="8"/>
    <col min="15783" max="15783" customWidth="1" width="8"/>
    <col min="15784" max="15784" customWidth="1" width="8"/>
    <col min="15785" max="15785" customWidth="1" width="8"/>
    <col min="15786" max="15786" customWidth="1" width="8"/>
    <col min="15787" max="15787" customWidth="1" width="8"/>
    <col min="15788" max="15788" customWidth="1" width="8"/>
    <col min="15789" max="15789" customWidth="1" width="8"/>
    <col min="15790" max="15790" customWidth="1" width="8"/>
    <col min="15791" max="15791" customWidth="1" width="8"/>
    <col min="15792" max="15792" customWidth="1" width="8"/>
    <col min="15793" max="15793" customWidth="1" width="8"/>
    <col min="15794" max="15794" customWidth="1" width="8"/>
    <col min="15795" max="15795" customWidth="1" width="8"/>
    <col min="15796" max="15796" customWidth="1" width="8"/>
    <col min="15797" max="15797" customWidth="1" width="8"/>
    <col min="15798" max="15798" customWidth="1" width="8"/>
    <col min="15799" max="15799" customWidth="1" width="8"/>
    <col min="15800" max="15800" customWidth="1" width="8"/>
    <col min="15801" max="15801" customWidth="1" width="8"/>
    <col min="15802" max="15802" customWidth="1" width="8"/>
    <col min="15803" max="15803" customWidth="1" width="8"/>
    <col min="15804" max="15804" customWidth="1" width="8"/>
    <col min="15805" max="15805" customWidth="1" width="8"/>
    <col min="15806" max="15806" customWidth="1" width="8"/>
    <col min="15807" max="15807" customWidth="1" width="8"/>
    <col min="15808" max="15808" customWidth="1" width="8"/>
    <col min="15809" max="15809" customWidth="1" width="8"/>
    <col min="15810" max="15810" customWidth="1" width="8"/>
    <col min="15811" max="15811" customWidth="1" width="8"/>
    <col min="15812" max="15812" customWidth="1" width="8"/>
    <col min="15813" max="15813" customWidth="1" width="8"/>
    <col min="15814" max="15814" customWidth="1" width="8"/>
    <col min="15815" max="15815" customWidth="1" width="8"/>
    <col min="15816" max="15816" customWidth="1" width="8"/>
    <col min="15817" max="15817" customWidth="1" width="8"/>
    <col min="15818" max="15818" customWidth="1" width="8"/>
    <col min="15819" max="15819" customWidth="1" width="8"/>
    <col min="15820" max="15820" customWidth="1" width="8"/>
    <col min="15821" max="15821" customWidth="1" width="8"/>
    <col min="15822" max="15822" customWidth="1" width="8"/>
    <col min="15823" max="15823" customWidth="1" width="8"/>
    <col min="15824" max="15824" customWidth="1" width="8"/>
    <col min="15825" max="15825" customWidth="1" width="8"/>
    <col min="15826" max="15826" customWidth="1" width="8"/>
    <col min="15827" max="15827" customWidth="1" width="8"/>
    <col min="15828" max="15828" customWidth="1" width="8"/>
    <col min="15829" max="15829" customWidth="1" width="8"/>
    <col min="15830" max="15830" customWidth="1" width="8"/>
    <col min="15831" max="15831" customWidth="1" width="8"/>
    <col min="15832" max="15832" customWidth="1" width="8"/>
    <col min="15833" max="15833" customWidth="1" width="8"/>
    <col min="15834" max="15834" customWidth="1" width="8"/>
    <col min="15835" max="15835" customWidth="1" width="8"/>
    <col min="15836" max="15836" customWidth="1" width="8"/>
    <col min="15837" max="15837" customWidth="1" width="8"/>
    <col min="15838" max="15838" customWidth="1" width="8"/>
    <col min="15839" max="15839" customWidth="1" width="8"/>
    <col min="15840" max="15840" customWidth="1" width="8"/>
    <col min="15841" max="15841" customWidth="1" width="8"/>
    <col min="15842" max="15842" customWidth="1" width="8"/>
    <col min="15843" max="15843" customWidth="1" width="8"/>
    <col min="15844" max="15844" customWidth="1" width="8"/>
    <col min="15845" max="15845" customWidth="1" width="8"/>
    <col min="15846" max="15846" customWidth="1" width="8"/>
    <col min="15847" max="15847" customWidth="1" width="8"/>
    <col min="15848" max="15848" customWidth="1" width="8"/>
    <col min="15849" max="15849" customWidth="1" width="8"/>
    <col min="15850" max="15850" customWidth="1" width="8"/>
    <col min="15851" max="15851" customWidth="1" width="8"/>
    <col min="15852" max="15852" customWidth="1" width="8"/>
    <col min="15853" max="15853" customWidth="1" width="8"/>
    <col min="15854" max="15854" customWidth="1" width="8"/>
    <col min="15855" max="15855" customWidth="1" width="8"/>
    <col min="15856" max="15856" customWidth="1" width="8"/>
    <col min="15857" max="15857" customWidth="1" width="8"/>
    <col min="15858" max="15858" customWidth="1" width="8"/>
    <col min="15859" max="15859" customWidth="1" width="8"/>
    <col min="15860" max="15860" customWidth="1" width="8"/>
    <col min="15861" max="15861" customWidth="1" width="8"/>
    <col min="15862" max="15862" customWidth="1" width="8"/>
    <col min="15863" max="15863" customWidth="1" width="8"/>
    <col min="15864" max="15864" customWidth="1" width="8"/>
    <col min="15865" max="15865" customWidth="1" width="8"/>
    <col min="15866" max="15866" customWidth="1" width="8"/>
    <col min="15867" max="15867" customWidth="1" width="8"/>
    <col min="15868" max="15868" customWidth="1" width="8"/>
    <col min="15869" max="15869" customWidth="1" width="8"/>
    <col min="15870" max="15870" customWidth="1" width="8"/>
    <col min="15871" max="15871" customWidth="1" width="8"/>
    <col min="15872" max="15872" customWidth="1" width="8"/>
    <col min="15873" max="15873" customWidth="1" width="8"/>
    <col min="15874" max="15874" customWidth="1" width="8"/>
    <col min="15875" max="15875" customWidth="1" width="8"/>
    <col min="15876" max="15876" customWidth="1" width="8"/>
    <col min="15877" max="15877" customWidth="1" width="8"/>
    <col min="15878" max="15878" customWidth="1" width="8"/>
    <col min="15879" max="15879" customWidth="1" width="8"/>
    <col min="15880" max="15880" customWidth="1" width="8"/>
    <col min="15881" max="15881" customWidth="1" width="8"/>
    <col min="15882" max="15882" customWidth="1" width="8"/>
    <col min="15883" max="15883" customWidth="1" width="8"/>
    <col min="15884" max="15884" customWidth="1" width="8"/>
    <col min="15885" max="15885" customWidth="1" width="8"/>
    <col min="15886" max="15886" customWidth="1" width="8"/>
    <col min="15887" max="15887" customWidth="1" width="8"/>
    <col min="15888" max="15888" customWidth="1" width="8"/>
    <col min="15889" max="15889" customWidth="1" width="8"/>
    <col min="15890" max="15890" customWidth="1" width="8"/>
    <col min="15891" max="15891" customWidth="1" width="8"/>
    <col min="15892" max="15892" customWidth="1" width="8"/>
    <col min="15893" max="15893" customWidth="1" width="8"/>
    <col min="15894" max="15894" customWidth="1" width="8"/>
    <col min="15895" max="15895" customWidth="1" width="8"/>
    <col min="15896" max="15896" customWidth="1" width="8"/>
    <col min="15897" max="15897" customWidth="1" width="8"/>
    <col min="15898" max="15898" customWidth="1" width="8"/>
    <col min="15899" max="15899" customWidth="1" width="8"/>
    <col min="15900" max="15900" customWidth="1" width="8"/>
    <col min="15901" max="15901" customWidth="1" width="8"/>
    <col min="15902" max="15902" customWidth="1" width="8"/>
    <col min="15903" max="15903" customWidth="1" width="8"/>
    <col min="15904" max="15904" customWidth="1" width="8"/>
    <col min="15905" max="15905" customWidth="1" width="8"/>
    <col min="15906" max="15906" customWidth="1" width="8"/>
    <col min="15907" max="15907" customWidth="1" width="8"/>
    <col min="15908" max="15908" customWidth="1" width="8"/>
    <col min="15909" max="15909" customWidth="1" width="8"/>
    <col min="15910" max="15910" customWidth="1" width="8"/>
    <col min="15911" max="15911" customWidth="1" width="8"/>
    <col min="15912" max="15912" customWidth="1" width="8"/>
    <col min="15913" max="15913" customWidth="1" width="8"/>
    <col min="15914" max="15914" customWidth="1" width="8"/>
    <col min="15915" max="15915" customWidth="1" width="8"/>
    <col min="15916" max="15916" customWidth="1" width="8"/>
    <col min="15917" max="15917" customWidth="1" width="8"/>
    <col min="15918" max="15918" customWidth="1" width="8"/>
    <col min="15919" max="15919" customWidth="1" width="8"/>
    <col min="15920" max="15920" customWidth="1" width="8"/>
    <col min="15921" max="15921" customWidth="1" width="8"/>
    <col min="15922" max="15922" customWidth="1" width="8"/>
    <col min="15923" max="15923" customWidth="1" width="8"/>
    <col min="15924" max="15924" customWidth="1" width="8"/>
    <col min="15925" max="15925" customWidth="1" width="8"/>
    <col min="15926" max="15926" customWidth="1" width="8"/>
    <col min="15927" max="15927" customWidth="1" width="8"/>
    <col min="15928" max="15928" customWidth="1" width="8"/>
    <col min="15929" max="15929" customWidth="1" width="8"/>
    <col min="15930" max="15930" customWidth="1" width="8"/>
    <col min="15931" max="15931" customWidth="1" width="8"/>
    <col min="15932" max="15932" customWidth="1" width="8"/>
    <col min="15933" max="15933" customWidth="1" width="8"/>
    <col min="15934" max="15934" customWidth="1" width="8"/>
    <col min="15935" max="15935" customWidth="1" width="8"/>
    <col min="15936" max="15936" customWidth="1" width="8"/>
    <col min="15937" max="15937" customWidth="1" width="8"/>
    <col min="15938" max="15938" customWidth="1" width="8"/>
    <col min="15939" max="15939" customWidth="1" width="8"/>
    <col min="15940" max="15940" customWidth="1" width="8"/>
    <col min="15941" max="15941" customWidth="1" width="8"/>
    <col min="15942" max="15942" customWidth="1" width="8"/>
    <col min="15943" max="15943" customWidth="1" width="8"/>
    <col min="15944" max="15944" customWidth="1" width="8"/>
    <col min="15945" max="15945" customWidth="1" width="8"/>
    <col min="15946" max="15946" customWidth="1" width="8"/>
    <col min="15947" max="15947" customWidth="1" width="8"/>
    <col min="15948" max="15948" customWidth="1" width="8"/>
    <col min="15949" max="15949" customWidth="1" width="8"/>
    <col min="15950" max="15950" customWidth="1" width="8"/>
    <col min="15951" max="15951" customWidth="1" width="8"/>
    <col min="15952" max="15952" customWidth="1" width="8"/>
    <col min="15953" max="15953" customWidth="1" width="8"/>
    <col min="15954" max="15954" customWidth="1" width="8"/>
    <col min="15955" max="15955" customWidth="1" width="8"/>
    <col min="15956" max="15956" customWidth="1" width="8"/>
    <col min="15957" max="15957" customWidth="1" width="8"/>
    <col min="15958" max="15958" customWidth="1" width="8"/>
    <col min="15959" max="15959" customWidth="1" width="8"/>
    <col min="15960" max="15960" customWidth="1" width="8"/>
    <col min="15961" max="15961" customWidth="1" width="8"/>
    <col min="15962" max="15962" customWidth="1" width="8"/>
    <col min="15963" max="15963" customWidth="1" width="8"/>
    <col min="15964" max="15964" customWidth="1" width="8"/>
    <col min="15965" max="15965" customWidth="1" width="8"/>
    <col min="15966" max="15966" customWidth="1" width="8"/>
    <col min="15967" max="15967" customWidth="1" width="8"/>
    <col min="15968" max="15968" customWidth="1" width="8"/>
    <col min="15969" max="15969" customWidth="1" width="8"/>
    <col min="15970" max="15970" customWidth="1" width="8"/>
    <col min="15971" max="15971" customWidth="1" width="8"/>
    <col min="15972" max="15972" customWidth="1" width="8"/>
    <col min="15973" max="15973" customWidth="1" width="8"/>
    <col min="15974" max="15974" customWidth="1" width="8"/>
    <col min="15975" max="15975" customWidth="1" width="8"/>
    <col min="15976" max="15976" customWidth="1" width="8"/>
    <col min="15977" max="15977" customWidth="1" width="8"/>
    <col min="15978" max="15978" customWidth="1" width="8"/>
    <col min="15979" max="15979" customWidth="1" width="8"/>
    <col min="15980" max="15980" customWidth="1" width="8"/>
    <col min="15981" max="15981" customWidth="1" width="8"/>
    <col min="15982" max="15982" customWidth="1" width="8"/>
    <col min="15983" max="15983" customWidth="1" width="8"/>
    <col min="15984" max="15984" customWidth="1" width="8"/>
    <col min="15985" max="15985" customWidth="1" width="8"/>
    <col min="15986" max="15986" customWidth="1" width="8"/>
    <col min="15987" max="15987" customWidth="1" width="8"/>
    <col min="15988" max="15988" customWidth="1" width="8"/>
    <col min="15989" max="15989" customWidth="1" width="8"/>
    <col min="15990" max="15990" customWidth="1" width="8"/>
    <col min="15991" max="15991" customWidth="1" width="8"/>
    <col min="15992" max="15992" customWidth="1" width="8"/>
    <col min="15993" max="15993" customWidth="1" width="8"/>
    <col min="15994" max="15994" customWidth="1" width="8"/>
    <col min="15995" max="15995" customWidth="1" width="8"/>
    <col min="15996" max="15996" customWidth="1" width="8"/>
    <col min="15997" max="15997" customWidth="1" width="8"/>
    <col min="15998" max="15998" customWidth="1" width="8"/>
    <col min="15999" max="15999" customWidth="1" width="8"/>
    <col min="16000" max="16000" customWidth="1" width="8"/>
    <col min="16001" max="16001" customWidth="1" width="8"/>
    <col min="16002" max="16002" customWidth="1" width="8"/>
    <col min="16003" max="16003" customWidth="1" width="8"/>
    <col min="16004" max="16004" customWidth="1" width="8"/>
    <col min="16005" max="16005" customWidth="1" width="8"/>
    <col min="16006" max="16006" customWidth="1" width="8"/>
    <col min="16007" max="16007" customWidth="1" width="8"/>
    <col min="16008" max="16008" customWidth="1" width="8"/>
    <col min="16009" max="16009" customWidth="1" width="8"/>
    <col min="16010" max="16010" customWidth="1" width="8"/>
    <col min="16011" max="16011" customWidth="1" width="8"/>
    <col min="16012" max="16012" customWidth="1" width="8"/>
    <col min="16013" max="16013" customWidth="1" width="8"/>
    <col min="16014" max="16014" customWidth="1" width="8"/>
    <col min="16015" max="16015" customWidth="1" width="8"/>
    <col min="16016" max="16016" customWidth="1" width="8"/>
    <col min="16017" max="16017" customWidth="1" width="8"/>
    <col min="16018" max="16018" customWidth="1" width="8"/>
    <col min="16019" max="16019" customWidth="1" width="8"/>
    <col min="16020" max="16020" customWidth="1" width="8"/>
    <col min="16021" max="16021" customWidth="1" width="8"/>
    <col min="16022" max="16022" customWidth="1" width="8"/>
    <col min="16023" max="16023" customWidth="1" width="8"/>
    <col min="16024" max="16024" customWidth="1" width="8"/>
    <col min="16025" max="16025" customWidth="1" width="8"/>
    <col min="16026" max="16026" customWidth="1" width="8"/>
    <col min="16027" max="16027" customWidth="1" width="8"/>
    <col min="16028" max="16028" customWidth="1" width="8"/>
    <col min="16029" max="16029" customWidth="1" width="8"/>
    <col min="16030" max="16030" customWidth="1" width="8"/>
    <col min="16031" max="16031" customWidth="1" width="8"/>
    <col min="16032" max="16032" customWidth="1" width="8"/>
    <col min="16033" max="16033" customWidth="1" width="8"/>
    <col min="16034" max="16034" customWidth="1" width="8"/>
    <col min="16035" max="16035" customWidth="1" width="8"/>
    <col min="16036" max="16036" customWidth="1" width="8"/>
    <col min="16037" max="16037" customWidth="1" width="8"/>
    <col min="16038" max="16038" customWidth="1" width="8"/>
    <col min="16039" max="16039" customWidth="1" width="8"/>
    <col min="16040" max="16040" customWidth="1" width="8"/>
    <col min="16041" max="16041" customWidth="1" width="8"/>
    <col min="16042" max="16042" customWidth="1" width="8"/>
    <col min="16043" max="16043" customWidth="1" width="8"/>
    <col min="16044" max="16044" customWidth="1" width="8"/>
    <col min="16045" max="16045" customWidth="1" width="8"/>
    <col min="16046" max="16046" customWidth="1" width="8"/>
    <col min="16047" max="16047" customWidth="1" width="8"/>
    <col min="16048" max="16048" customWidth="1" width="8"/>
    <col min="16049" max="16049" customWidth="1" width="8"/>
    <col min="16050" max="16050" customWidth="1" width="8"/>
    <col min="16051" max="16051" customWidth="1" width="8"/>
    <col min="16052" max="16052" customWidth="1" width="8"/>
    <col min="16053" max="16053" customWidth="1" width="8"/>
    <col min="16054" max="16054" customWidth="1" width="8"/>
    <col min="16055" max="16055" customWidth="1" width="8"/>
    <col min="16056" max="16056" customWidth="1" width="8"/>
    <col min="16057" max="16057" customWidth="1" width="8"/>
    <col min="16058" max="16058" customWidth="1" width="8"/>
    <col min="16059" max="16059" customWidth="1" width="8"/>
    <col min="16060" max="16060" customWidth="1" width="8"/>
    <col min="16061" max="16061" customWidth="1" width="8"/>
    <col min="16062" max="16062" customWidth="1" width="8"/>
    <col min="16063" max="16063" customWidth="1" width="8"/>
    <col min="16064" max="16064" customWidth="1" width="8"/>
    <col min="16065" max="16065" customWidth="1" width="8"/>
    <col min="16066" max="16066" customWidth="1" width="8"/>
    <col min="16067" max="16067" customWidth="1" width="8"/>
    <col min="16068" max="16068" customWidth="1" width="8"/>
    <col min="16069" max="16069" customWidth="1" width="8"/>
    <col min="16070" max="16070" customWidth="1" width="8"/>
    <col min="16071" max="16071" customWidth="1" width="8"/>
    <col min="16072" max="16072" customWidth="1" width="8"/>
    <col min="16073" max="16073" customWidth="1" width="8"/>
    <col min="16074" max="16074" customWidth="1" width="8"/>
    <col min="16075" max="16075" customWidth="1" width="8"/>
    <col min="16076" max="16076" customWidth="1" width="8"/>
    <col min="16077" max="16077" customWidth="1" width="8"/>
    <col min="16078" max="16078" customWidth="1" width="8"/>
    <col min="16079" max="16079" customWidth="1" width="8"/>
    <col min="16080" max="16080" customWidth="1" width="8"/>
    <col min="16081" max="16081" customWidth="1" width="8"/>
    <col min="16082" max="16082" customWidth="1" width="8"/>
    <col min="16083" max="16083" customWidth="1" width="8"/>
    <col min="16084" max="16084" customWidth="1" width="8"/>
    <col min="16085" max="16085" customWidth="1" width="8"/>
    <col min="16086" max="16086" customWidth="1" width="8"/>
    <col min="16087" max="16087" customWidth="1" width="8"/>
    <col min="16088" max="16088" customWidth="1" width="8"/>
    <col min="16089" max="16089" customWidth="1" width="8"/>
    <col min="16090" max="16090" customWidth="1" width="8"/>
    <col min="16091" max="16091" customWidth="1" width="8"/>
    <col min="16092" max="16092" customWidth="1" width="8"/>
    <col min="16093" max="16093" customWidth="1" width="8"/>
    <col min="16094" max="16094" customWidth="1" width="8"/>
    <col min="16095" max="16095" customWidth="1" width="8"/>
    <col min="16096" max="16096" customWidth="1" width="8"/>
    <col min="16097" max="16097" customWidth="1" width="8"/>
    <col min="16098" max="16098" customWidth="1" width="8"/>
    <col min="16099" max="16099" customWidth="1" width="8"/>
    <col min="16100" max="16100" customWidth="1" width="8"/>
    <col min="16101" max="16101" customWidth="1" width="8"/>
    <col min="16102" max="16102" customWidth="1" width="8"/>
    <col min="16103" max="16103" customWidth="1" width="8"/>
    <col min="16104" max="16104" customWidth="1" width="8"/>
    <col min="16105" max="16105" customWidth="1" width="8"/>
    <col min="16106" max="16106" customWidth="1" width="8"/>
    <col min="16107" max="16107" customWidth="1" width="8"/>
    <col min="16108" max="16108" customWidth="1" width="8"/>
    <col min="16109" max="16109" customWidth="1" width="8"/>
    <col min="16110" max="16110" customWidth="1" width="8"/>
    <col min="16111" max="16111" customWidth="1" width="8"/>
    <col min="16112" max="16112" customWidth="1" width="8"/>
    <col min="16113" max="16113" customWidth="1" width="8"/>
    <col min="16114" max="16114" customWidth="1" width="8"/>
    <col min="16115" max="16115" customWidth="1" width="8"/>
    <col min="16116" max="16116" customWidth="1" width="8"/>
    <col min="16117" max="16117" customWidth="1" width="8"/>
    <col min="16118" max="16118" customWidth="1" width="8"/>
    <col min="16119" max="16119" customWidth="1" width="8"/>
    <col min="16120" max="16120" customWidth="1" width="8"/>
    <col min="16121" max="16121" customWidth="1" width="8"/>
    <col min="16122" max="16122" customWidth="1" width="8"/>
    <col min="16123" max="16123" customWidth="1" width="8"/>
    <col min="16124" max="16124" customWidth="1" width="8"/>
    <col min="16125" max="16125" customWidth="1" width="8"/>
    <col min="16126" max="16126" customWidth="1" width="8"/>
    <col min="16127" max="16127" customWidth="1" width="8"/>
    <col min="16128" max="16128" customWidth="1" width="8"/>
    <col min="16129" max="16129" customWidth="1" width="8"/>
    <col min="16130" max="16130" customWidth="1" width="8"/>
    <col min="16131" max="16131" customWidth="1" width="8"/>
    <col min="16132" max="16132" customWidth="1" width="8"/>
    <col min="16133" max="16133" customWidth="1" width="8"/>
    <col min="16134" max="16134" customWidth="1" width="8"/>
    <col min="16135" max="16135" customWidth="1" width="8"/>
    <col min="16136" max="16136" customWidth="1" width="8"/>
    <col min="16137" max="16137" customWidth="1" width="8"/>
    <col min="16138" max="16138" customWidth="1" width="8"/>
    <col min="16139" max="16139" customWidth="1" width="8"/>
    <col min="16140" max="16140" customWidth="1" width="8"/>
    <col min="16141" max="16141" customWidth="1" width="8"/>
    <col min="16142" max="16142" customWidth="1" width="8"/>
    <col min="16143" max="16143" customWidth="1" width="8"/>
    <col min="16144" max="16144" customWidth="1" width="8"/>
    <col min="16145" max="16145" customWidth="1" width="8"/>
    <col min="16146" max="16146" customWidth="1" width="8"/>
    <col min="16147" max="16147" customWidth="1" width="8"/>
    <col min="16148" max="16148" customWidth="1" width="8"/>
    <col min="16149" max="16149" customWidth="1" width="8"/>
    <col min="16150" max="16150" customWidth="1" width="8"/>
    <col min="16151" max="16151" customWidth="1" width="8"/>
    <col min="16152" max="16152" customWidth="1" width="8"/>
    <col min="16153" max="16153" customWidth="1" width="8"/>
    <col min="16154" max="16154" customWidth="1" width="8"/>
    <col min="16155" max="16155" customWidth="1" width="8"/>
    <col min="16156" max="16156" customWidth="1" width="8"/>
    <col min="16157" max="16157" customWidth="1" width="8"/>
    <col min="16158" max="16158" customWidth="1" width="8"/>
    <col min="16159" max="16159" customWidth="1" width="8"/>
    <col min="16160" max="16160" customWidth="1" width="8"/>
    <col min="16161" max="16161" customWidth="1" width="8"/>
    <col min="16162" max="16162" customWidth="1" width="8"/>
    <col min="16163" max="16163" customWidth="1" width="8"/>
    <col min="16164" max="16164" customWidth="1" width="8"/>
    <col min="16165" max="16165" customWidth="1" width="8"/>
    <col min="16166" max="16166" customWidth="1" width="8"/>
    <col min="16167" max="16167" customWidth="1" width="8"/>
    <col min="16168" max="16168" customWidth="1" width="8"/>
    <col min="16169" max="16169" customWidth="1" width="8"/>
    <col min="16170" max="16170" customWidth="1" width="8"/>
    <col min="16171" max="16171" customWidth="1" width="8"/>
    <col min="16172" max="16172" customWidth="1" width="8"/>
    <col min="16173" max="16173" customWidth="1" width="8"/>
    <col min="16174" max="16174" customWidth="1" width="8"/>
    <col min="16175" max="16175" customWidth="1" width="8"/>
    <col min="16176" max="16176" customWidth="1" width="8"/>
    <col min="16177" max="16177" customWidth="1" width="8"/>
    <col min="16178" max="16178" customWidth="1" width="8"/>
    <col min="16179" max="16179" customWidth="1" width="8"/>
    <col min="16180" max="16180" customWidth="1" width="8"/>
    <col min="16181" max="16181" customWidth="1" width="8"/>
    <col min="16182" max="16182" customWidth="1" width="8"/>
    <col min="16183" max="16183" customWidth="1" width="8"/>
    <col min="16184" max="16184" customWidth="1" width="8"/>
    <col min="16185" max="16185" customWidth="1" width="8"/>
    <col min="16186" max="16186" customWidth="1" width="8"/>
    <col min="16187" max="16187" customWidth="1" width="8"/>
    <col min="16188" max="16188" customWidth="1" width="8"/>
    <col min="16189" max="16189" customWidth="1" width="8"/>
    <col min="16190" max="16190" customWidth="1" width="8"/>
    <col min="16191" max="16191" customWidth="1" width="8"/>
    <col min="16192" max="16192" customWidth="1" width="8"/>
    <col min="16193" max="16193" customWidth="1" width="8"/>
    <col min="16194" max="16194" customWidth="1" width="8"/>
    <col min="16195" max="16195" customWidth="1" width="8"/>
    <col min="16196" max="16196" customWidth="1" width="8"/>
    <col min="16197" max="16197" customWidth="1" width="8"/>
    <col min="16198" max="16198" customWidth="1" width="8"/>
    <col min="16199" max="16199" customWidth="1" width="8"/>
    <col min="16200" max="16200" customWidth="1" width="8"/>
    <col min="16201" max="16201" customWidth="1" width="8"/>
    <col min="16202" max="16202" customWidth="1" width="8"/>
    <col min="16203" max="16203" customWidth="1" width="8"/>
    <col min="16204" max="16204" customWidth="1" width="8"/>
    <col min="16205" max="16205" customWidth="1" width="8"/>
    <col min="16206" max="16206" customWidth="1" width="8"/>
    <col min="16207" max="16207" customWidth="1" width="8"/>
    <col min="16208" max="16208" customWidth="1" width="8"/>
    <col min="16209" max="16209" customWidth="1" width="8"/>
    <col min="16210" max="16210" customWidth="1" width="8"/>
    <col min="16211" max="16211" customWidth="1" width="8"/>
    <col min="16212" max="16212" customWidth="1" width="8"/>
    <col min="16213" max="16213" customWidth="1" width="8"/>
    <col min="16214" max="16214" customWidth="1" width="8"/>
    <col min="16215" max="16215" customWidth="1" width="8"/>
    <col min="16216" max="16216" customWidth="1" width="8"/>
    <col min="16217" max="16217" customWidth="1" width="8"/>
    <col min="16218" max="16218" customWidth="1" width="8"/>
    <col min="16219" max="16219" customWidth="1" width="8"/>
    <col min="16220" max="16220" customWidth="1" width="8"/>
    <col min="16221" max="16221" customWidth="1" width="8"/>
    <col min="16222" max="16222" customWidth="1" width="8"/>
    <col min="16223" max="16223" customWidth="1" width="8"/>
    <col min="16224" max="16224" customWidth="1" width="8"/>
    <col min="16225" max="16225" customWidth="1" width="8"/>
    <col min="16226" max="16226" customWidth="1" width="8"/>
    <col min="16227" max="16227" customWidth="1" width="8"/>
    <col min="16228" max="16228" customWidth="1" width="8"/>
    <col min="16229" max="16229" customWidth="1" width="8"/>
    <col min="16230" max="16230" customWidth="1" width="8"/>
    <col min="16231" max="16231" customWidth="1" width="8"/>
    <col min="16232" max="16232" customWidth="1" width="8"/>
    <col min="16233" max="16233" customWidth="1" width="8"/>
    <col min="16234" max="16234" customWidth="1" width="8"/>
    <col min="16235" max="16235" customWidth="1" width="8"/>
    <col min="16236" max="16236" customWidth="1" width="8"/>
    <col min="16237" max="16237" customWidth="1" width="8"/>
    <col min="16238" max="16238" customWidth="1" width="8"/>
    <col min="16239" max="16239" customWidth="1" width="8"/>
    <col min="16240" max="16240" customWidth="1" width="8"/>
    <col min="16241" max="16241" customWidth="1" width="8"/>
    <col min="16242" max="16242" customWidth="1" width="8"/>
    <col min="16243" max="16243" customWidth="1" width="8"/>
    <col min="16244" max="16244" customWidth="1" width="8"/>
    <col min="16245" max="16245" customWidth="1" width="8"/>
    <col min="16246" max="16246" customWidth="1" width="8"/>
    <col min="16247" max="16247" customWidth="1" width="8"/>
    <col min="16248" max="16248" customWidth="1" width="8"/>
    <col min="16249" max="16249" customWidth="1" width="8"/>
    <col min="16250" max="16250" customWidth="1" width="8"/>
    <col min="16251" max="16251" customWidth="1" width="8"/>
    <col min="16252" max="16252" customWidth="1" width="8"/>
    <col min="16253" max="16253" customWidth="1" width="8"/>
    <col min="16254" max="16254" customWidth="1" width="8"/>
    <col min="16255" max="16255" customWidth="1" width="8"/>
    <col min="16256" max="16256" customWidth="1" width="8"/>
    <col min="16257" max="16257" customWidth="1" width="8"/>
    <col min="16258" max="16258" customWidth="1" width="8"/>
    <col min="16259" max="16259" customWidth="1" width="8"/>
    <col min="16260" max="16260" customWidth="1" width="8"/>
    <col min="16261" max="16261" customWidth="1" width="8"/>
    <col min="16262" max="16262" customWidth="1" width="8"/>
    <col min="16263" max="16263" customWidth="1" width="8"/>
    <col min="16264" max="16264" customWidth="1" width="8"/>
    <col min="16265" max="16265" customWidth="1" width="8"/>
    <col min="16266" max="16266" customWidth="1" width="8"/>
    <col min="16267" max="16267" customWidth="1" width="8"/>
    <col min="16268" max="16268" customWidth="1" width="8"/>
    <col min="16269" max="16269" customWidth="1" width="8"/>
    <col min="16270" max="16270" customWidth="1" width="8"/>
    <col min="16271" max="16271" customWidth="1" width="8"/>
    <col min="16272" max="16272" customWidth="1" width="8"/>
    <col min="16273" max="16273" customWidth="1" width="8"/>
    <col min="16274" max="16274" customWidth="1" width="8"/>
    <col min="16275" max="16275" customWidth="1" width="8"/>
    <col min="16276" max="16276" customWidth="1" width="8"/>
    <col min="16277" max="16277" customWidth="1" width="8"/>
    <col min="16278" max="16278" customWidth="1" width="8"/>
    <col min="16279" max="16279" customWidth="1" width="8"/>
    <col min="16280" max="16280" customWidth="1" width="8"/>
    <col min="16281" max="16281" customWidth="1" width="8"/>
    <col min="16282" max="16282" customWidth="1" width="8"/>
    <col min="16283" max="16283" customWidth="1" width="8"/>
    <col min="16284" max="16284" customWidth="1" width="8"/>
    <col min="16285" max="16285" customWidth="1" width="8"/>
    <col min="16286" max="16286" customWidth="1" width="8"/>
    <col min="16287" max="16287" customWidth="1" width="8"/>
    <col min="16288" max="16288" customWidth="1" width="8"/>
    <col min="16289" max="16289" customWidth="1" width="8"/>
    <col min="16290" max="16290" customWidth="1" width="8"/>
    <col min="16291" max="16291" customWidth="1" width="8"/>
    <col min="16292" max="16292" customWidth="1" width="8"/>
    <col min="16293" max="16293" customWidth="1" width="8"/>
    <col min="16294" max="16294" customWidth="1" width="8"/>
    <col min="16295" max="16295" customWidth="1" width="8"/>
    <col min="16296" max="16296" customWidth="1" width="8"/>
    <col min="16297" max="16297" customWidth="1" width="8"/>
    <col min="16298" max="16298" customWidth="1" width="8"/>
    <col min="16299" max="16299" customWidth="1" width="8"/>
    <col min="16300" max="16300" customWidth="1" width="8"/>
    <col min="16301" max="16301" customWidth="1" width="8"/>
    <col min="16302" max="16302" customWidth="1" width="8"/>
    <col min="16303" max="16303" customWidth="1" width="8"/>
    <col min="16304" max="16304" customWidth="1" width="8"/>
    <col min="16305" max="16305" customWidth="1" width="8"/>
    <col min="16306" max="16306" customWidth="1" width="8"/>
    <col min="16307" max="16307" customWidth="1" width="8"/>
    <col min="16308" max="16308" customWidth="1" width="8"/>
    <col min="16309" max="16309" customWidth="1" width="8"/>
    <col min="16310" max="16310" customWidth="1" width="8"/>
    <col min="16311" max="16311" customWidth="1" width="8"/>
    <col min="16312" max="16312" customWidth="1" width="8"/>
    <col min="16313" max="16313" customWidth="1" width="8"/>
    <col min="16314" max="16314" customWidth="1" width="8"/>
    <col min="16315" max="16315" customWidth="1" width="8"/>
    <col min="16316" max="16316" customWidth="1" width="8"/>
    <col min="16317" max="16317" customWidth="1" width="8"/>
    <col min="16318" max="16318" customWidth="1" width="8"/>
    <col min="16319" max="16319" customWidth="1" width="8"/>
    <col min="16320" max="16320" customWidth="1" width="8"/>
    <col min="16321" max="16321" customWidth="1" width="8"/>
    <col min="16322" max="16322" customWidth="1" width="8"/>
    <col min="16323" max="16323" customWidth="1" width="8"/>
    <col min="16324" max="16324" customWidth="1" width="8"/>
    <col min="16325" max="16325" customWidth="1" width="8"/>
    <col min="16326" max="16326" customWidth="1" width="8"/>
    <col min="16327" max="16327" customWidth="1" width="8"/>
    <col min="16328" max="16328" customWidth="1" width="8"/>
    <col min="16329" max="16329" customWidth="1" width="8"/>
    <col min="16330" max="16330" customWidth="1" width="8"/>
    <col min="16331" max="16331" customWidth="1" width="8"/>
    <col min="16332" max="16332" customWidth="1" width="8"/>
    <col min="16333" max="16333" customWidth="1" width="8"/>
    <col min="16334" max="16334" customWidth="1" width="8"/>
    <col min="16335" max="16335" customWidth="1" width="8"/>
    <col min="16336" max="16336" customWidth="1" width="8"/>
    <col min="16337" max="16337" customWidth="1" width="8"/>
    <col min="16338" max="16338" customWidth="1" width="8"/>
    <col min="16339" max="16339" customWidth="1" width="8"/>
    <col min="16340" max="16340" customWidth="1" width="8"/>
    <col min="16341" max="16341" customWidth="1" width="8"/>
    <col min="16342" max="16342" customWidth="1" width="8"/>
    <col min="16343" max="16343" customWidth="1" width="8"/>
    <col min="16344" max="16344" customWidth="1" width="8"/>
    <col min="16345" max="16345" customWidth="1" width="8"/>
    <col min="16346" max="16346" customWidth="1" width="8"/>
    <col min="16347" max="16347" customWidth="1" width="8"/>
    <col min="16348" max="16348" customWidth="1" width="8"/>
    <col min="16349" max="16349" customWidth="1" width="8"/>
    <col min="16350" max="16350" customWidth="1" width="8"/>
    <col min="16351" max="16351" customWidth="1" width="8"/>
    <col min="16352" max="16352" customWidth="1" width="8"/>
    <col min="16353" max="16353" customWidth="1" width="8"/>
    <col min="16354" max="16354" customWidth="1" width="8"/>
    <col min="16355" max="16355" customWidth="1" width="8"/>
    <col min="16356" max="16356" customWidth="1" width="8"/>
    <col min="16357" max="16357" customWidth="1" width="8"/>
    <col min="16358" max="16358" customWidth="1" width="8"/>
    <col min="16359" max="16359" customWidth="1" width="8"/>
    <col min="16360" max="16360" customWidth="1" width="8"/>
    <col min="16361" max="16361" customWidth="1" width="8"/>
    <col min="16362" max="16362" customWidth="1" width="8"/>
    <col min="16363" max="16363" customWidth="1" width="8"/>
    <col min="16364" max="16364" customWidth="1" width="8"/>
    <col min="16365" max="16365" customWidth="1" width="8"/>
    <col min="16366" max="16366" customWidth="1" width="8"/>
    <col min="16367" max="16367" customWidth="1" width="8"/>
    <col min="16368" max="16368" customWidth="1" width="8"/>
    <col min="16369" max="16369" customWidth="1" width="8"/>
    <col min="16370" max="16370" customWidth="1" width="8"/>
    <col min="16371" max="16371" customWidth="1" width="8"/>
    <col min="16372" max="16372" customWidth="1" width="8"/>
    <col min="16373" max="16373" customWidth="1" width="8"/>
    <col min="16374" max="16374" customWidth="1" width="8"/>
    <col min="16375" max="16375" customWidth="1" width="8"/>
    <col min="16376" max="16376" customWidth="1" width="8"/>
    <col min="16377" max="16377" customWidth="1" width="8"/>
    <col min="16378" max="16378" customWidth="1" width="8"/>
    <col min="16379" max="16379" customWidth="1" width="8"/>
    <col min="16380" max="16380" customWidth="1" width="8"/>
    <col min="16381" max="16381" customWidth="1" width="8"/>
    <col min="16382" max="16382" customWidth="1" width="8"/>
    <col min="16383" max="16383" customWidth="1" width="8"/>
    <col min="16384" max="16384" customWidth="1" width="8"/>
  </cols>
  <sheetData>
    <row r="1" ht="36.75" customHeight="1">
      <c r="A1" t="s">
        <v>161</v>
      </c>
    </row>
    <row r="2" ht="51" customHeight="1">
      <c r="A2" t="s">
        <f>'afflux calculation'!A2:H2</f>
        <v>48</v>
      </c>
    </row>
    <row r="3" ht="15.75" customHeight="1">
      <c r="A3" t="s">
        <v>162</v>
      </c>
    </row>
    <row r="4">
      <c r="A4" t="s">
        <v>163</v>
      </c>
      <c r="F4" s="2">
        <v>100.6</v>
      </c>
      <c r="G4" t="s">
        <v>92</v>
      </c>
    </row>
    <row r="5" ht="45" customHeight="1">
      <c r="A5" t="s">
        <v>164</v>
      </c>
      <c r="B5" s="3" t="s">
        <v>165</v>
      </c>
      <c r="C5" t="s">
        <v>166</v>
      </c>
      <c r="D5" t="s">
        <v>167</v>
      </c>
      <c r="E5" t="s">
        <v>168</v>
      </c>
      <c r="F5" t="s">
        <v>169</v>
      </c>
      <c r="G5" t="s">
        <v>170</v>
      </c>
    </row>
    <row r="6">
      <c r="A6">
        <v>0</v>
      </c>
      <c r="B6" s="2">
        <v>102</v>
      </c>
      <c r="C6" s="1">
        <f>IF(B6&gt;$F$4,0,$F$4-B6)</f>
        <v>0</v>
      </c>
      <c r="D6" s="1">
        <v>0</v>
      </c>
      <c r="E6" s="1">
        <v>0</v>
      </c>
      <c r="F6" s="1">
        <v>0</v>
      </c>
      <c r="G6" s="1">
        <v>0</v>
      </c>
    </row>
    <row r="7">
      <c r="A7">
        <v>10</v>
      </c>
      <c r="B7" s="2">
        <v>100.95</v>
      </c>
      <c r="C7" s="1">
        <f>IF(B7&gt;$F$4,0,$F$4-B7)</f>
        <v>0</v>
      </c>
      <c r="D7" s="1">
        <f>(A7-A6)</f>
        <v>10</v>
      </c>
      <c r="E7" s="1">
        <f>(C7+C6)/2</f>
        <v>0</v>
      </c>
      <c r="F7" s="1">
        <f>D7*E7</f>
        <v>0</v>
      </c>
      <c r="G7" s="1">
        <f>(D7^2+(C6-C7)^2)^0.5</f>
        <v>10</v>
      </c>
    </row>
    <row r="8">
      <c r="A8">
        <v>20</v>
      </c>
      <c r="B8" s="2">
        <v>98.19</v>
      </c>
      <c r="C8" s="1">
        <f>IF(B8&gt;$F$4,0,$F$4-B8)</f>
        <v>2.4099999999999966</v>
      </c>
      <c r="D8" s="1">
        <f>(A8-A7)</f>
        <v>10</v>
      </c>
      <c r="E8" s="1">
        <f>(C8+C7)/2</f>
        <v>1.2049999999999983</v>
      </c>
      <c r="F8" s="1">
        <f>D8*E8</f>
        <v>12.049999999999983</v>
      </c>
      <c r="G8" s="1">
        <f>(D8^2+(C7-C8)^2)^0.5</f>
        <v>10.28630643136787</v>
      </c>
    </row>
    <row r="9">
      <c r="A9">
        <v>30</v>
      </c>
      <c r="B9" s="2">
        <v>97.58999999999999</v>
      </c>
      <c r="C9" s="1">
        <f>IF(B9&gt;$F$4,0,$F$4-B9)</f>
        <v>3.010000000000005</v>
      </c>
      <c r="D9" s="1">
        <f>(A9-A8)</f>
        <v>10</v>
      </c>
      <c r="E9" s="1">
        <f>(C9+C8)/2</f>
        <v>2.710000000000001</v>
      </c>
      <c r="F9" s="1">
        <f>D9*E9</f>
        <v>27.10000000000001</v>
      </c>
      <c r="G9" s="1">
        <f>(D9^2+(C8-C9)^2)^0.5</f>
        <v>10.017983829094556</v>
      </c>
    </row>
    <row r="10">
      <c r="A10">
        <v>40</v>
      </c>
      <c r="B10" s="2">
        <v>97.21</v>
      </c>
      <c r="C10" s="1">
        <f>IF(B10&gt;$F$4,0,$F$4-B10)</f>
        <v>3.3900000000000006</v>
      </c>
      <c r="D10" s="1">
        <f>(A10-A9)</f>
        <v>10</v>
      </c>
      <c r="E10" s="1">
        <f>(C10+C9)/2</f>
        <v>3.200000000000003</v>
      </c>
      <c r="F10" s="1">
        <f>D10*E10</f>
        <v>32.00000000000003</v>
      </c>
      <c r="G10" s="1">
        <f>(D10^2+(C9-C10)^2)^0.5</f>
        <v>10.007217395460138</v>
      </c>
    </row>
    <row r="11">
      <c r="A11">
        <v>50</v>
      </c>
      <c r="B11" s="2">
        <v>96.86999999999999</v>
      </c>
      <c r="C11" s="1">
        <f>IF(B11&gt;$F$4,0,$F$4-B11)</f>
        <v>3.730000000000004</v>
      </c>
      <c r="D11" s="1">
        <f>(A11-A10)</f>
        <v>10</v>
      </c>
      <c r="E11" s="1">
        <f>(C11+C10)/2</f>
        <v>3.5600000000000023</v>
      </c>
      <c r="F11" s="1">
        <f>D11*E11</f>
        <v>35.60000000000002</v>
      </c>
      <c r="G11" s="1">
        <f>(D11^2+(C10-C11)^2)^0.5</f>
        <v>10.005778330544805</v>
      </c>
    </row>
    <row r="12">
      <c r="A12">
        <v>60</v>
      </c>
      <c r="B12" s="2">
        <v>97.95999999999998</v>
      </c>
      <c r="C12" s="1">
        <f>IF(B12&gt;$F$4,0,$F$4-B12)</f>
        <v>2.640000000000015</v>
      </c>
      <c r="D12" s="1">
        <f>(A12-A11)</f>
        <v>10</v>
      </c>
      <c r="E12" s="1">
        <f>(C12+C11)/2</f>
        <v>3.1850000000000094</v>
      </c>
      <c r="F12" s="1">
        <f>D12*E12</f>
        <v>31.850000000000094</v>
      </c>
      <c r="G12" s="1">
        <f>(D12^2+(C11-C12)^2)^0.5</f>
        <v>10.059229592767032</v>
      </c>
    </row>
    <row r="13">
      <c r="A13">
        <v>70</v>
      </c>
      <c r="B13" s="2">
        <v>97.11999999999999</v>
      </c>
      <c r="C13" s="1">
        <f>IF(B13&gt;$F$4,0,$F$4-B13)</f>
        <v>3.480000000000004</v>
      </c>
      <c r="D13" s="1">
        <f>(A13-A12)</f>
        <v>10</v>
      </c>
      <c r="E13" s="1">
        <f>(C13+C12)/2</f>
        <v>3.0600000000000094</v>
      </c>
      <c r="F13" s="1">
        <f>D13*E13</f>
        <v>30.600000000000094</v>
      </c>
      <c r="G13" s="1">
        <f>(D13^2+(C12-C13)^2)^0.5</f>
        <v>10.035217984677761</v>
      </c>
    </row>
    <row r="14">
      <c r="A14">
        <v>80</v>
      </c>
      <c r="B14" s="2">
        <v>96.79999999999998</v>
      </c>
      <c r="C14" s="1">
        <f>IF(B14&gt;$F$4,0,$F$4-B14)</f>
        <v>3.8000000000000114</v>
      </c>
      <c r="D14" s="1">
        <f>(A14-A13)</f>
        <v>10</v>
      </c>
      <c r="E14" s="1">
        <f>(C14+C13)/2</f>
        <v>3.6400000000000077</v>
      </c>
      <c r="F14" s="1">
        <f>D14*E14</f>
        <v>36.40000000000008</v>
      </c>
      <c r="G14" s="1">
        <f>(D14^2+(C13-C14)^2)^0.5</f>
        <v>10.00511868995066</v>
      </c>
    </row>
    <row r="15">
      <c r="A15">
        <v>90</v>
      </c>
      <c r="B15" s="2">
        <v>96.46999999999998</v>
      </c>
      <c r="C15" s="1">
        <f>IF(B15&gt;$F$4,0,$F$4-B15)</f>
        <v>4.13000000000001</v>
      </c>
      <c r="D15" s="1">
        <f>(A15-A14)</f>
        <v>10</v>
      </c>
      <c r="E15" s="1">
        <f>(C15+C14)/2</f>
        <v>3.9650000000000105</v>
      </c>
      <c r="F15" s="1">
        <f>D15*E15</f>
        <v>39.650000000000105</v>
      </c>
      <c r="G15" s="1">
        <f>(D15^2+(C14-C15)^2)^0.5</f>
        <v>10.005443518405368</v>
      </c>
    </row>
    <row r="16">
      <c r="A16">
        <v>100</v>
      </c>
      <c r="B16" s="2">
        <v>96.49</v>
      </c>
      <c r="C16" s="1">
        <f>IF(B16&gt;$F$4,0,$F$4-B16)</f>
        <v>4.109999999999999</v>
      </c>
      <c r="D16" s="1">
        <f>(A16-A15)</f>
        <v>10</v>
      </c>
      <c r="E16" s="1">
        <f>(C16+C15)/2</f>
        <v>4.1200000000000045</v>
      </c>
      <c r="F16" s="1">
        <f>D16*E16</f>
        <v>41.200000000000045</v>
      </c>
      <c r="G16" s="1">
        <f>(D16^2+(C15-C16)^2)^0.5</f>
        <v>10.00001999998</v>
      </c>
    </row>
    <row r="17">
      <c r="A17">
        <v>110</v>
      </c>
      <c r="B17" s="2">
        <v>97.03999999999998</v>
      </c>
      <c r="C17" s="1">
        <f>IF(B17&gt;$F$4,0,$F$4-B17)</f>
        <v>3.5600000000000165</v>
      </c>
      <c r="D17" s="1">
        <f>(A17-A16)</f>
        <v>10</v>
      </c>
      <c r="E17" s="1">
        <f>(C17+C16)/2</f>
        <v>3.835000000000008</v>
      </c>
      <c r="F17" s="1">
        <f>D17*E17</f>
        <v>38.35000000000008</v>
      </c>
      <c r="G17" s="1">
        <f>(D17^2+(C16-C17)^2)^0.5</f>
        <v>10.01511357898651</v>
      </c>
    </row>
    <row r="18">
      <c r="A18">
        <v>120</v>
      </c>
      <c r="B18" s="2">
        <v>97.28999999999998</v>
      </c>
      <c r="C18" s="1">
        <f>IF(B18&gt;$F$4,0,$F$4-B18)</f>
        <v>3.3100000000000165</v>
      </c>
      <c r="D18" s="1">
        <f>(A18-A17)</f>
        <v>10</v>
      </c>
      <c r="E18" s="1">
        <f>(C18+C17)/2</f>
        <v>3.4350000000000165</v>
      </c>
      <c r="F18" s="1">
        <f>D18*E18</f>
        <v>34.350000000000165</v>
      </c>
      <c r="G18" s="1">
        <f>(D18^2+(C17-C18)^2)^0.5</f>
        <v>10.003124511871277</v>
      </c>
    </row>
    <row r="19">
      <c r="A19">
        <v>130</v>
      </c>
      <c r="B19" s="2">
        <v>97.73999999999998</v>
      </c>
      <c r="C19" s="1">
        <f>IF(B19&gt;$F$4,0,$F$4-B19)</f>
        <v>2.8600000000000136</v>
      </c>
      <c r="D19" s="1">
        <f>(A19-A18)</f>
        <v>10</v>
      </c>
      <c r="E19" s="1">
        <f>(C19+C18)/2</f>
        <v>3.085000000000015</v>
      </c>
      <c r="F19" s="1">
        <f>D19*E19</f>
        <v>30.85000000000015</v>
      </c>
      <c r="G19" s="1">
        <f>(D19^2+(C18-C19)^2)^0.5</f>
        <v>10.010119879402044</v>
      </c>
    </row>
    <row r="20">
      <c r="A20">
        <v>140</v>
      </c>
      <c r="B20" s="2">
        <v>98.12999999999998</v>
      </c>
      <c r="C20" s="1">
        <f>IF(B20&gt;$F$4,0,$F$4-B20)</f>
        <v>2.470000000000013</v>
      </c>
      <c r="D20" s="1">
        <f>(A20-A19)</f>
        <v>10</v>
      </c>
      <c r="E20" s="1">
        <f>(C20+C19)/2</f>
        <v>2.6650000000000134</v>
      </c>
      <c r="F20" s="1">
        <f>D20*E20</f>
        <v>26.650000000000134</v>
      </c>
      <c r="G20" s="1">
        <f>(D20^2+(C19-C20)^2)^0.5</f>
        <v>10.007602110395876</v>
      </c>
    </row>
    <row r="21">
      <c r="A21">
        <v>150</v>
      </c>
      <c r="B21" s="2">
        <v>98.84999999999998</v>
      </c>
      <c r="C21" s="1">
        <f>IF(B21&gt;$F$4,0,$F$4-B21)</f>
        <v>1.7500000000000142</v>
      </c>
      <c r="D21" s="1">
        <f>(A21-A20)</f>
        <v>10</v>
      </c>
      <c r="E21" s="1">
        <f>(C21+C20)/2</f>
        <v>2.1100000000000136</v>
      </c>
      <c r="F21" s="1">
        <f>D21*E21</f>
        <v>21.100000000000136</v>
      </c>
      <c r="G21" s="1">
        <f>(D21^2+(C20-C21)^2)^0.5</f>
        <v>10.025886494470202</v>
      </c>
    </row>
    <row r="22">
      <c r="A22">
        <v>160</v>
      </c>
      <c r="B22" s="2">
        <v>98.07</v>
      </c>
      <c r="C22" s="1">
        <f>IF(B22&gt;$F$4,0,$F$4-B22)</f>
        <v>2.530000000000001</v>
      </c>
      <c r="D22" s="1">
        <f>(A22-A21)</f>
        <v>10</v>
      </c>
      <c r="E22" s="1">
        <f>(C22+C21)/2</f>
        <v>2.1400000000000077</v>
      </c>
      <c r="F22" s="1">
        <f>D22*E22</f>
        <v>21.400000000000077</v>
      </c>
      <c r="G22" s="1">
        <f>(D22^2+(C21-C22)^2)^0.5</f>
        <v>10.030373871396817</v>
      </c>
    </row>
    <row r="23">
      <c r="A23">
        <v>170</v>
      </c>
      <c r="B23" s="2">
        <v>98.75</v>
      </c>
      <c r="C23" s="1">
        <f>IF(B23&gt;$F$4,0,$F$4-B23)</f>
        <v>1.8499999999999943</v>
      </c>
      <c r="D23" s="1">
        <f>(A23-A22)</f>
        <v>10</v>
      </c>
      <c r="E23" s="1">
        <f>(C23+C22)/2</f>
        <v>2.1899999999999977</v>
      </c>
      <c r="F23" s="1">
        <f>D23*E23</f>
        <v>21.899999999999977</v>
      </c>
      <c r="G23" s="1">
        <f>(D23^2+(C22-C23)^2)^0.5</f>
        <v>10.023093334894174</v>
      </c>
    </row>
    <row r="24">
      <c r="A24">
        <v>180</v>
      </c>
      <c r="B24" s="2">
        <v>101.85</v>
      </c>
      <c r="C24" s="1">
        <f>IF(B24&gt;$F$4,0,$F$4-B24)</f>
        <v>0</v>
      </c>
      <c r="D24" s="1">
        <f>(A24-A23)</f>
        <v>10</v>
      </c>
      <c r="E24" s="1">
        <f>(C24+C23)/2</f>
        <v>0.9249999999999972</v>
      </c>
      <c r="F24" s="1">
        <f>D24*E24</f>
        <v>9.249999999999972</v>
      </c>
      <c r="G24" s="1">
        <f>(D24^2+(C23-C24)^2)^0.5</f>
        <v>10.169685344198216</v>
      </c>
    </row>
    <row r="25">
      <c r="A25">
        <v>190</v>
      </c>
      <c r="B25" s="2">
        <v>102</v>
      </c>
      <c r="C25" s="1">
        <f>IF(B25&gt;$F$4,0,$F$4-B25)</f>
        <v>0</v>
      </c>
      <c r="D25" s="1">
        <f>(A25-A24)</f>
        <v>10</v>
      </c>
      <c r="E25" s="1">
        <f>(C25+C24)/2</f>
        <v>0</v>
      </c>
      <c r="F25" s="1">
        <f>D25*E25</f>
        <v>0</v>
      </c>
      <c r="G25" s="1">
        <f>(D25^2+(C24-C25)^2)^0.5</f>
        <v>10</v>
      </c>
    </row>
    <row r="26"/>
    <row r="27">
      <c r="C27" s="1" t="s">
        <v>171</v>
      </c>
      <c r="D27" s="1">
        <f>SUM(D6:D26)</f>
        <v>190</v>
      </c>
      <c r="F27" s="1">
        <f>SUM(F6:F26)</f>
        <v>490.3000000000011</v>
      </c>
      <c r="G27" s="1">
        <f>SUM(G6:G26)</f>
        <v>190.70731489786334</v>
      </c>
    </row>
    <row r="28"/>
    <row r="29">
      <c r="B29" s="3" t="s">
        <v>56</v>
      </c>
      <c r="C29" s="1">
        <f>F27</f>
        <v>490.3000000000011</v>
      </c>
      <c r="D29" s="1" t="s">
        <v>172</v>
      </c>
    </row>
    <row r="30">
      <c r="B30" s="3" t="s">
        <v>60</v>
      </c>
      <c r="C30" s="1">
        <f>G27</f>
        <v>190.70731489786334</v>
      </c>
      <c r="D30" s="1" t="s">
        <v>92</v>
      </c>
    </row>
    <row r="31">
      <c r="B31" s="3" t="s">
        <v>173</v>
      </c>
      <c r="C31" s="1">
        <f>C29/C30</f>
        <v>2.570955394461874</v>
      </c>
      <c r="D31" t="s">
        <v>92</v>
      </c>
    </row>
    <row r="32">
      <c r="B32" s="3" t="s">
        <v>174</v>
      </c>
      <c r="C32">
        <v>0.033</v>
      </c>
    </row>
    <row r="33">
      <c r="B33" s="3" t="s">
        <v>175</v>
      </c>
      <c r="C33">
        <f>'Bed Slope'!J24</f>
        <v>960</v>
      </c>
    </row>
    <row r="34">
      <c r="B34" s="3" t="s">
        <v>73</v>
      </c>
      <c r="C34" s="1">
        <f>(1/C32*(C31^(2/3))*((1/C33)^0.5))</f>
        <v>1.8354679471127884</v>
      </c>
      <c r="D34" t="s">
        <v>176</v>
      </c>
    </row>
    <row r="35">
      <c r="B35" s="3" t="s">
        <v>52</v>
      </c>
      <c r="C35" s="1">
        <f>C29*C34</f>
        <v>899.9299344694022</v>
      </c>
      <c r="D35" t="s">
        <v>177</v>
      </c>
    </row>
    <row r="36" ht="90.75" customHeight="1">
      <c r="B36" s="3" t="s">
        <v>178</v>
      </c>
    </row>
    <row r="37">
      <c r="B37" s="3" t="s">
        <v>179</v>
      </c>
      <c r="E37" s="1">
        <f>C35</f>
        <v>899.9299344694022</v>
      </c>
      <c r="F37" t="s">
        <f>D35</f>
        <v>177</v>
      </c>
    </row>
    <row r="39" ht="19.5" customHeight="1">
      <c r="A39" t="s">
        <v>180</v>
      </c>
    </row>
    <row r="40" ht="15" customHeight="1">
      <c r="A40" t="s">
        <v>181</v>
      </c>
      <c r="E40" s="2">
        <f>ROUND(MAX(E41+E42,F3-'afflux calculation'!B51/2),2)</f>
        <v>101.6</v>
      </c>
      <c r="G40" t="s">
        <v>92</v>
      </c>
    </row>
    <row r="41" ht="15" customHeight="1">
      <c r="A41" t="s">
        <v>182</v>
      </c>
      <c r="E41" s="2">
        <v>96.6</v>
      </c>
      <c r="G41" t="s">
        <v>92</v>
      </c>
    </row>
    <row r="42" ht="15" customHeight="1">
      <c r="A42" t="s">
        <v>183</v>
      </c>
      <c r="E42" s="2">
        <v>5</v>
      </c>
      <c r="G42" t="s">
        <v>92</v>
      </c>
    </row>
    <row r="43" ht="15" customHeight="1">
      <c r="A43" t="s">
        <v>184</v>
      </c>
      <c r="E43" s="2">
        <f>MIN('CROSS SECTION'!B6:B25)</f>
        <v>96.46999999999998</v>
      </c>
      <c r="G43" t="s">
        <v>92</v>
      </c>
    </row>
    <row r="44" ht="15" customHeight="1">
      <c r="A44" t="s">
        <v>185</v>
      </c>
      <c r="E44" s="2">
        <f>E41+1</f>
        <v>97.6</v>
      </c>
      <c r="G44" t="s">
        <v>92</v>
      </c>
    </row>
    <row r="45" ht="15" customHeight="1">
      <c r="A45" t="s">
        <v>186</v>
      </c>
      <c r="E45" s="2">
        <f>E43-3</f>
        <v>93.46999999999998</v>
      </c>
      <c r="G45" t="s">
        <v>92</v>
      </c>
    </row>
    <row r="46" ht="15" customHeight="1">
      <c r="A46" t="s">
        <v>187</v>
      </c>
      <c r="E46" s="2">
        <f>E40-E43</f>
        <v>5.13000000000001</v>
      </c>
      <c r="G46" t="s">
        <v>92</v>
      </c>
    </row>
    <row r="47" ht="15" customHeight="1">
      <c r="A47" t="s">
        <v>188</v>
      </c>
      <c r="E47" s="2">
        <f>E40-E45</f>
        <v>8.13000000000001</v>
      </c>
      <c r="G47" t="s">
        <v>92</v>
      </c>
    </row>
    <row r="48">
      <c r="A48" t="s">
        <v>189</v>
      </c>
    </row>
    <row r="49">
      <c r="A49" t="s">
        <v>190</v>
      </c>
    </row>
  </sheetData>
  <mergeCells count="21">
    <mergeCell ref="A47:D47"/>
    <mergeCell ref="E47:F47"/>
    <mergeCell ref="A43:D43"/>
    <mergeCell ref="E43:F43"/>
    <mergeCell ref="A44:D44"/>
    <mergeCell ref="E44:F44"/>
    <mergeCell ref="A45:D45"/>
    <mergeCell ref="E45:F45"/>
    <mergeCell ref="A41:D41"/>
    <mergeCell ref="E41:F41"/>
    <mergeCell ref="A42:D42"/>
    <mergeCell ref="E42:F42"/>
    <mergeCell ref="A46:D46"/>
    <mergeCell ref="E46:F46"/>
    <mergeCell ref="A1:G1"/>
    <mergeCell ref="B36:G36"/>
    <mergeCell ref="A3:G3"/>
    <mergeCell ref="A2:G2"/>
    <mergeCell ref="A39:G39"/>
    <mergeCell ref="A40:D40"/>
    <mergeCell ref="E40:F40"/>
  </mergeCells>
  <pageMargins left="0.75" right="0.75" top="1" bottom="1" header="0.5" footer="0.5"/>
  <ignoredErrors>
    <ignoredError numberStoredAsText="1" sqref="A1:K49"/>
  </ignoredErrors>
</worksheet>
</file>

<file path=xl/worksheets/sheet5.xml><?xml version="1.0" encoding="utf-8"?>
<worksheet xmlns="http://schemas.openxmlformats.org/spreadsheetml/2006/main" xmlns:r="http://schemas.openxmlformats.org/officeDocument/2006/relationships">
  <dimension ref="A1:AJ37"/>
  <sheetViews>
    <sheetView workbookViewId="0" rightToLeft="0"/>
  </sheetViews>
  <cols>
    <col min="2" max="2" customWidth="1" width="33.42578125"/>
    <col min="3" max="3" customWidth="1" width="11.7109375"/>
    <col min="4" max="4" customWidth="1" width="9.28515625"/>
    <col min="6" max="6" customWidth="1" width="9.28515625"/>
    <col min="8" max="8" customWidth="1" width="11.85546875"/>
    <col min="10" max="10" customWidth="1" width="9.28515625"/>
    <col min="12" max="12" customWidth="1" width="10.85546875"/>
  </cols>
  <sheetData>
    <row r="1" ht="18" customHeight="1">
      <c r="A1" t="s">
        <v>191</v>
      </c>
    </row>
    <row r="2" ht="18" customHeight="1">
      <c r="A2" t="s">
        <f>HYDRAULICS!A2</f>
        <v>48</v>
      </c>
    </row>
    <row r="3" ht="86.25" customHeight="1">
      <c r="B3" t="s">
        <v>192</v>
      </c>
    </row>
    <row r="4" ht="71.25" customHeight="1">
      <c r="B4" t="s">
        <v>193</v>
      </c>
    </row>
    <row r="5">
      <c r="A5" t="s">
        <v>194</v>
      </c>
    </row>
    <row r="6">
      <c r="B6" t="s">
        <v>195</v>
      </c>
      <c r="G6" t="s">
        <v>196</v>
      </c>
      <c r="L6">
        <f>'afflux calculation'!F79</f>
        <v>100.83</v>
      </c>
      <c r="M6" t="s">
        <v>92</v>
      </c>
    </row>
    <row r="7">
      <c r="B7" t="s">
        <v>197</v>
      </c>
      <c r="C7" t="s">
        <v>53</v>
      </c>
      <c r="D7">
        <f>'afflux calculation'!B78</f>
        <v>0.23</v>
      </c>
      <c r="E7" t="s">
        <v>92</v>
      </c>
    </row>
    <row r="8">
      <c r="B8" t="s">
        <v>198</v>
      </c>
      <c r="C8" t="s">
        <v>53</v>
      </c>
      <c r="D8">
        <f>D7</f>
        <v>0.23</v>
      </c>
      <c r="E8" t="s">
        <v>199</v>
      </c>
      <c r="F8">
        <v>10</v>
      </c>
      <c r="G8" t="s">
        <v>53</v>
      </c>
      <c r="H8">
        <f>D8*F8</f>
        <v>2.3000000000000003</v>
      </c>
      <c r="I8" t="s">
        <v>200</v>
      </c>
    </row>
    <row r="9">
      <c r="B9" t="s">
        <v>201</v>
      </c>
      <c r="C9" t="s">
        <v>53</v>
      </c>
      <c r="D9" s="1">
        <f>'STABILITY CHECK FOR PIER'!E6</f>
        <v>8.799999999999999</v>
      </c>
      <c r="E9" t="s">
        <v>91</v>
      </c>
      <c r="F9">
        <f>'afflux calculation'!C18</f>
        <v>12</v>
      </c>
      <c r="G9" t="s">
        <v>53</v>
      </c>
      <c r="H9">
        <f>D9*F9</f>
        <v>105.6</v>
      </c>
      <c r="I9" t="s">
        <v>202</v>
      </c>
    </row>
    <row r="10">
      <c r="B10" t="s">
        <v>203</v>
      </c>
      <c r="C10" t="s">
        <v>53</v>
      </c>
      <c r="D10">
        <f>H9</f>
        <v>105.6</v>
      </c>
      <c r="E10" t="s">
        <v>91</v>
      </c>
      <c r="F10">
        <f>H8</f>
        <v>2.3000000000000003</v>
      </c>
      <c r="G10" t="s">
        <v>53</v>
      </c>
      <c r="H10">
        <f>ROUNDUP(D10*F10,2)</f>
        <v>242.88</v>
      </c>
      <c r="I10" t="s">
        <v>204</v>
      </c>
    </row>
    <row r="11">
      <c r="B11" s="1" t="s">
        <v>205</v>
      </c>
      <c r="C11" s="1" t="s">
        <v>53</v>
      </c>
      <c r="D11" s="1">
        <f>D9</f>
        <v>8.799999999999999</v>
      </c>
      <c r="E11" s="1" t="s">
        <v>91</v>
      </c>
      <c r="F11" s="4">
        <f>F9</f>
        <v>12</v>
      </c>
      <c r="G11" s="1" t="s">
        <v>91</v>
      </c>
      <c r="H11" s="1">
        <v>0.75</v>
      </c>
      <c r="I11" s="1" t="s">
        <v>91</v>
      </c>
      <c r="J11" s="1">
        <v>24</v>
      </c>
      <c r="K11" s="1" t="s">
        <v>53</v>
      </c>
      <c r="L11" s="1">
        <f>D11*F11*H11*J11</f>
        <v>1900.7999999999997</v>
      </c>
      <c r="M11" s="1" t="s">
        <v>204</v>
      </c>
    </row>
    <row r="12">
      <c r="B12" s="1" t="s">
        <v>206</v>
      </c>
      <c r="C12" s="1" t="s">
        <v>53</v>
      </c>
      <c r="D12" s="1">
        <f>D11</f>
        <v>8.799999999999999</v>
      </c>
      <c r="E12" s="1" t="s">
        <v>91</v>
      </c>
      <c r="F12" s="4">
        <f>F11</f>
        <v>12</v>
      </c>
      <c r="G12" s="1" t="s">
        <v>91</v>
      </c>
      <c r="H12" s="2">
        <v>0.075</v>
      </c>
      <c r="I12" s="1" t="s">
        <v>91</v>
      </c>
      <c r="J12" s="1">
        <v>24</v>
      </c>
      <c r="K12" s="1" t="s">
        <v>53</v>
      </c>
      <c r="L12" s="1">
        <f>D12*F12*H12*J12</f>
        <v>190.07999999999998</v>
      </c>
      <c r="M12" s="1" t="s">
        <v>204</v>
      </c>
    </row>
    <row r="13">
      <c r="B13" s="1" t="s">
        <v>207</v>
      </c>
      <c r="C13" s="1" t="s">
        <v>53</v>
      </c>
      <c r="D13" s="1" t="s">
        <v>208</v>
      </c>
      <c r="E13" s="1" t="s">
        <v>91</v>
      </c>
      <c r="F13" s="1">
        <v>1.5</v>
      </c>
      <c r="G13" s="1" t="s">
        <v>91</v>
      </c>
      <c r="H13" s="1">
        <v>0.5</v>
      </c>
      <c r="I13" s="1" t="s">
        <v>91</v>
      </c>
      <c r="J13" s="1">
        <v>0</v>
      </c>
      <c r="K13" s="1" t="s">
        <v>53</v>
      </c>
      <c r="L13" s="1">
        <f>2*D12*F13*H13*J13</f>
        <v>0</v>
      </c>
      <c r="M13" s="1" t="s">
        <v>204</v>
      </c>
    </row>
    <row r="14">
      <c r="B14" s="1" t="s">
        <v>171</v>
      </c>
      <c r="L14" s="1">
        <f>SUM(L11:L13)</f>
        <v>2090.8799999999997</v>
      </c>
      <c r="M14" s="1" t="s">
        <v>204</v>
      </c>
    </row>
    <row r="15">
      <c r="B15" s="1" t="s">
        <v>209</v>
      </c>
      <c r="C15" s="1" t="s">
        <v>53</v>
      </c>
      <c r="D15" s="1">
        <f>H10</f>
        <v>242.88</v>
      </c>
      <c r="E15" s="1" t="s">
        <v>136</v>
      </c>
      <c r="F15" s="1">
        <f>L14</f>
        <v>2090.8799999999997</v>
      </c>
      <c r="G15" s="1" t="s">
        <v>53</v>
      </c>
      <c r="H15" s="1">
        <f>D15-F15</f>
        <v>-1847.9999999999995</v>
      </c>
      <c r="I15" s="1" t="s">
        <v>204</v>
      </c>
    </row>
    <row r="16">
      <c r="H16" s="1" t="s">
        <v>210</v>
      </c>
    </row>
    <row r="17">
      <c r="A17" t="s">
        <v>211</v>
      </c>
    </row>
    <row r="18">
      <c r="B18" t="s">
        <v>212</v>
      </c>
    </row>
    <row r="19">
      <c r="B19" t="s">
        <v>213</v>
      </c>
    </row>
    <row r="20">
      <c r="B20" t="s">
        <v>214</v>
      </c>
      <c r="D20" t="s">
        <v>215</v>
      </c>
      <c r="E20" s="1">
        <f>'afflux calculation'!B83</f>
        <v>2.67</v>
      </c>
      <c r="F20" t="s">
        <v>153</v>
      </c>
      <c r="G20" t="s">
        <v>216</v>
      </c>
      <c r="M20" t="s">
        <v>217</v>
      </c>
    </row>
    <row r="21">
      <c r="B21" t="s">
        <v>218</v>
      </c>
      <c r="C21" t="s">
        <v>53</v>
      </c>
      <c r="D21" s="1">
        <f>E20</f>
        <v>2.67</v>
      </c>
      <c r="E21" t="s">
        <v>91</v>
      </c>
      <c r="F21" t="s">
        <v>219</v>
      </c>
    </row>
    <row r="22">
      <c r="C22" t="s">
        <v>53</v>
      </c>
      <c r="D22" s="1">
        <f>D21*COS(20*3.14/180)</f>
        <v>2.5091408583634016</v>
      </c>
    </row>
    <row r="23">
      <c r="B23" t="s">
        <v>220</v>
      </c>
      <c r="C23" t="s">
        <v>53</v>
      </c>
      <c r="D23" s="1">
        <f>D22^2*2</f>
        <v>12.591575694217255</v>
      </c>
    </row>
    <row r="24">
      <c r="B24" t="s">
        <v>221</v>
      </c>
      <c r="C24" t="s">
        <v>53</v>
      </c>
      <c r="D24" s="1">
        <f>'STABILITY CHECK FOR PIER'!E8</f>
        <v>100.6</v>
      </c>
      <c r="E24" s="1" t="s">
        <f>'STABILITY CHECK FOR PIER'!E123</f>
        <v>92</v>
      </c>
      <c r="F24" s="1" t="s">
        <v>222</v>
      </c>
      <c r="I24" s="1">
        <f>D24+'afflux calculation'!B78</f>
        <v>100.83</v>
      </c>
      <c r="J24" s="1" t="s">
        <v>92</v>
      </c>
    </row>
    <row r="25">
      <c r="B25" s="1" t="s">
        <v>223</v>
      </c>
    </row>
    <row r="26">
      <c r="B26" s="1" t="s">
        <v>224</v>
      </c>
      <c r="C26" s="1" t="s">
        <v>53</v>
      </c>
      <c r="D26" s="1">
        <f>D12</f>
        <v>8.799999999999999</v>
      </c>
      <c r="E26" s="1" t="s">
        <v>91</v>
      </c>
      <c r="F26" s="2">
        <f>'afflux calculation'!B78</f>
        <v>0.23</v>
      </c>
      <c r="G26" s="1" t="s">
        <v>53</v>
      </c>
      <c r="H26" s="1">
        <f>D26*F26</f>
        <v>2.024</v>
      </c>
      <c r="I26" s="1" t="s">
        <v>202</v>
      </c>
    </row>
    <row r="28" ht="14.25" customHeight="1">
      <c r="B28" t="s">
        <v>225</v>
      </c>
      <c r="C28" t="s">
        <v>53</v>
      </c>
      <c r="D28" s="1">
        <v>52</v>
      </c>
      <c r="E28" s="1" t="s">
        <v>91</v>
      </c>
      <c r="F28" s="1" t="s">
        <v>226</v>
      </c>
      <c r="G28" s="1" t="s">
        <v>91</v>
      </c>
      <c r="H28" s="1" t="s">
        <v>227</v>
      </c>
      <c r="I28" s="1" t="s">
        <v>91</v>
      </c>
      <c r="J28" s="1" t="s">
        <v>224</v>
      </c>
    </row>
    <row r="29">
      <c r="C29" t="s">
        <v>53</v>
      </c>
      <c r="D29" s="1">
        <f>D28</f>
        <v>52</v>
      </c>
      <c r="E29" s="1" t="s">
        <v>91</v>
      </c>
      <c r="F29" s="1">
        <v>1.5</v>
      </c>
      <c r="G29" s="1" t="s">
        <v>91</v>
      </c>
      <c r="H29" s="1">
        <f>D23</f>
        <v>12.591575694217255</v>
      </c>
      <c r="I29" s="1" t="s">
        <v>91</v>
      </c>
      <c r="J29" s="1">
        <f>H26</f>
        <v>2.024</v>
      </c>
      <c r="K29" s="1" t="s">
        <v>228</v>
      </c>
      <c r="L29" t="s">
        <v>53</v>
      </c>
      <c r="M29" s="1">
        <f>D29*F29*H29*J29/100</f>
        <v>19.878572379974667</v>
      </c>
      <c r="N29" t="s">
        <v>204</v>
      </c>
    </row>
    <row r="31">
      <c r="B31" t="s">
        <v>229</v>
      </c>
      <c r="C31">
        <v>32</v>
      </c>
      <c r="D31" t="s">
        <v>230</v>
      </c>
    </row>
    <row r="32" ht="14.25" customHeight="1">
      <c r="B32" t="s">
        <v>231</v>
      </c>
      <c r="C32">
        <v>190</v>
      </c>
      <c r="D32" s="1" t="s">
        <v>232</v>
      </c>
    </row>
    <row r="33" ht="14.25" customHeight="1">
      <c r="B33" t="s">
        <v>233</v>
      </c>
      <c r="D33" t="s">
        <v>234</v>
      </c>
      <c r="E33">
        <v>0.785</v>
      </c>
      <c r="F33" t="s">
        <v>91</v>
      </c>
      <c r="G33">
        <f>C31</f>
        <v>32</v>
      </c>
      <c r="H33">
        <v>2</v>
      </c>
      <c r="I33" t="s">
        <v>235</v>
      </c>
      <c r="J33">
        <f>C32</f>
        <v>190</v>
      </c>
      <c r="K33" t="s">
        <v>236</v>
      </c>
      <c r="L33" t="s">
        <v>53</v>
      </c>
      <c r="M33">
        <f>ROUNDUP(E33*C31*C31/4*C32/1000,2)</f>
        <v>38.19</v>
      </c>
      <c r="N33" t="s">
        <v>204</v>
      </c>
    </row>
    <row r="34">
      <c r="B34" t="s">
        <v>237</v>
      </c>
      <c r="C34">
        <v>18</v>
      </c>
      <c r="D34" t="s">
        <v>238</v>
      </c>
    </row>
    <row r="35">
      <c r="B35" t="s">
        <v>239</v>
      </c>
      <c r="C35" t="s">
        <v>53</v>
      </c>
      <c r="D35">
        <f>C34</f>
        <v>18</v>
      </c>
      <c r="E35" t="s">
        <v>91</v>
      </c>
      <c r="F35">
        <f>M33</f>
        <v>38.19</v>
      </c>
      <c r="G35" t="s">
        <v>53</v>
      </c>
      <c r="H35">
        <f>D35*F35</f>
        <v>687.42</v>
      </c>
      <c r="I35" t="s">
        <v>204</v>
      </c>
    </row>
    <row r="36">
      <c r="B36" t="s">
        <v>240</v>
      </c>
      <c r="C36" t="s">
        <v>53</v>
      </c>
      <c r="D36">
        <f>H35</f>
        <v>687.42</v>
      </c>
      <c r="E36" t="s">
        <v>107</v>
      </c>
      <c r="F36">
        <f>M29</f>
        <v>19.878572379974667</v>
      </c>
      <c r="G36" t="s">
        <v>53</v>
      </c>
      <c r="H36">
        <f>ROUNDUP(D36/F36,2)</f>
        <v>34.589999999999996</v>
      </c>
    </row>
    <row r="37">
      <c r="H37" t="s">
        <v>241</v>
      </c>
    </row>
  </sheetData>
  <mergeCells count="3">
    <mergeCell ref="A1:G1"/>
    <mergeCell ref="B3:N3"/>
    <mergeCell ref="B4:N4"/>
  </mergeCells>
  <pageMargins left="0.75" right="0.75" top="1" bottom="1" header="0.5" footer="0.5"/>
  <ignoredErrors>
    <ignoredError numberStoredAsText="1" sqref="A1:AJ37"/>
  </ignoredErrors>
</worksheet>
</file>

<file path=xl/worksheets/sheet6.xml><?xml version="1.0" encoding="utf-8"?>
<worksheet xmlns="http://schemas.openxmlformats.org/spreadsheetml/2006/main" xmlns:r="http://schemas.openxmlformats.org/officeDocument/2006/relationships">
  <dimension ref="A1:J29"/>
  <sheetViews>
    <sheetView workbookViewId="0" rightToLeft="0"/>
  </sheetViews>
  <sheetData>
    <row r="1" ht="15.75" customHeight="1">
      <c r="A1" t="s">
        <v>242</v>
      </c>
    </row>
    <row r="2" ht="48" customHeight="1">
      <c r="A2" t="s">
        <f>'Deck Anchorage'!A2</f>
        <v>48</v>
      </c>
    </row>
    <row r="3" ht="15.75" customHeight="1">
      <c r="A3" t="s">
        <v>243</v>
      </c>
    </row>
    <row r="4">
      <c r="A4" t="s">
        <v>163</v>
      </c>
      <c r="F4" s="2">
        <f>HYDRAULICS!F4</f>
        <v>100.6</v>
      </c>
      <c r="G4" t="s">
        <v>92</v>
      </c>
    </row>
    <row r="5" ht="45" customHeight="1">
      <c r="A5" t="s">
        <v>244</v>
      </c>
      <c r="B5" t="s">
        <v>245</v>
      </c>
      <c r="C5" t="s">
        <v>166</v>
      </c>
      <c r="D5" t="s">
        <v>167</v>
      </c>
      <c r="E5" t="s">
        <v>168</v>
      </c>
      <c r="F5" t="s">
        <v>169</v>
      </c>
      <c r="G5" t="s">
        <v>170</v>
      </c>
    </row>
    <row r="6">
      <c r="A6">
        <v>0</v>
      </c>
      <c r="B6" s="2">
        <v>102</v>
      </c>
      <c r="C6" s="1">
        <f>IF(B6&gt;$F$4,0,$F$4-B6)</f>
        <v>0</v>
      </c>
      <c r="D6" s="1">
        <v>0</v>
      </c>
      <c r="E6" s="1">
        <v>0</v>
      </c>
      <c r="F6" s="1">
        <v>0</v>
      </c>
      <c r="G6" s="1">
        <v>0</v>
      </c>
    </row>
    <row r="7">
      <c r="A7">
        <v>10</v>
      </c>
      <c r="B7" s="2">
        <v>100.95</v>
      </c>
      <c r="C7" s="1">
        <f>IF(B7&gt;$F$4,0,$F$4-B7)</f>
        <v>0</v>
      </c>
      <c r="D7" s="1">
        <f>(A7-A6)</f>
        <v>10</v>
      </c>
      <c r="E7" s="1">
        <f>(C7+C6)/2</f>
        <v>0</v>
      </c>
      <c r="F7" s="1">
        <f>D7*E7</f>
        <v>0</v>
      </c>
      <c r="G7" s="1">
        <f>(D7^2+(C6-C7)^2)^0.5</f>
        <v>10</v>
      </c>
    </row>
    <row r="8">
      <c r="A8">
        <v>20</v>
      </c>
      <c r="B8" s="2">
        <v>98.19</v>
      </c>
      <c r="C8" s="1">
        <f>IF(B8&gt;$F$4,0,$F$4-B8)</f>
        <v>2.4099999999999966</v>
      </c>
      <c r="D8" s="1">
        <f>(A8-A7)</f>
        <v>10</v>
      </c>
      <c r="E8" s="1">
        <f>(C8+C7)/2</f>
        <v>1.2049999999999983</v>
      </c>
      <c r="F8" s="1">
        <f>D8*E8</f>
        <v>12.049999999999983</v>
      </c>
      <c r="G8" s="1">
        <f>(D8^2+(C7-C8)^2)^0.5</f>
        <v>10.28630643136787</v>
      </c>
    </row>
    <row r="9">
      <c r="A9">
        <v>30</v>
      </c>
      <c r="B9" s="2">
        <v>97.58999999999999</v>
      </c>
      <c r="C9" s="1">
        <f>IF(B9&gt;$F$4,0,$F$4-B9)</f>
        <v>3.010000000000005</v>
      </c>
      <c r="D9" s="1">
        <f>(A9-A8)</f>
        <v>10</v>
      </c>
      <c r="E9" s="1">
        <f>(C9+C8)/2</f>
        <v>2.710000000000001</v>
      </c>
      <c r="F9" s="1">
        <f>D9*E9</f>
        <v>27.10000000000001</v>
      </c>
      <c r="G9" s="1">
        <f>(D9^2+(C8-C9)^2)^0.5</f>
        <v>10.017983829094556</v>
      </c>
    </row>
    <row r="10">
      <c r="A10">
        <v>40</v>
      </c>
      <c r="B10" s="2">
        <v>97.21</v>
      </c>
      <c r="C10" s="1">
        <f>IF(B10&gt;$F$4,0,$F$4-B10)</f>
        <v>3.3900000000000006</v>
      </c>
      <c r="D10" s="1">
        <f>(A10-A9)</f>
        <v>10</v>
      </c>
      <c r="E10" s="1">
        <f>(C10+C9)/2</f>
        <v>3.200000000000003</v>
      </c>
      <c r="F10" s="1">
        <f>D10*E10</f>
        <v>32.00000000000003</v>
      </c>
      <c r="G10" s="1">
        <f>(D10^2+(C9-C10)^2)^0.5</f>
        <v>10.007217395460138</v>
      </c>
    </row>
    <row r="11">
      <c r="A11">
        <v>50</v>
      </c>
      <c r="B11" s="2">
        <v>96.86999999999999</v>
      </c>
      <c r="C11" s="1">
        <f>IF(B11&gt;$F$4,0,$F$4-B11)</f>
        <v>3.730000000000004</v>
      </c>
      <c r="D11" s="1">
        <f>(A11-A10)</f>
        <v>10</v>
      </c>
      <c r="E11" s="1">
        <f>(C11+C10)/2</f>
        <v>3.5600000000000023</v>
      </c>
      <c r="F11" s="1">
        <f>D11*E11</f>
        <v>35.60000000000002</v>
      </c>
      <c r="G11" s="1">
        <f>(D11^2+(C10-C11)^2)^0.5</f>
        <v>10.005778330544805</v>
      </c>
    </row>
    <row r="12">
      <c r="A12">
        <v>60</v>
      </c>
      <c r="B12" s="2">
        <v>97.95999999999998</v>
      </c>
      <c r="C12" s="1">
        <f>IF(B12&gt;$F$4,0,$F$4-B12)</f>
        <v>2.640000000000015</v>
      </c>
      <c r="D12" s="1">
        <f>(A12-A11)</f>
        <v>10</v>
      </c>
      <c r="E12" s="1">
        <f>(C12+C11)/2</f>
        <v>3.1850000000000094</v>
      </c>
      <c r="F12" s="1">
        <f>D12*E12</f>
        <v>31.850000000000094</v>
      </c>
      <c r="G12" s="1">
        <f>(D12^2+(C11-C12)^2)^0.5</f>
        <v>10.059229592767032</v>
      </c>
    </row>
    <row r="13">
      <c r="A13">
        <v>70</v>
      </c>
      <c r="B13" s="2">
        <v>97.11999999999999</v>
      </c>
      <c r="C13" s="1">
        <f>IF(B13&gt;$F$4,0,$F$4-B13)</f>
        <v>3.480000000000004</v>
      </c>
      <c r="D13" s="1">
        <f>(A13-A12)</f>
        <v>10</v>
      </c>
      <c r="E13" s="1">
        <f>(C13+C12)/2</f>
        <v>3.0600000000000094</v>
      </c>
      <c r="F13" s="1">
        <f>D13*E13</f>
        <v>30.600000000000094</v>
      </c>
      <c r="G13" s="1">
        <f>(D13^2+(C12-C13)^2)^0.5</f>
        <v>10.035217984677761</v>
      </c>
    </row>
    <row r="14">
      <c r="A14">
        <v>80</v>
      </c>
      <c r="B14" s="2">
        <v>96.79999999999998</v>
      </c>
      <c r="C14" s="1">
        <f>IF(B14&gt;$F$4,0,$F$4-B14)</f>
        <v>3.8000000000000114</v>
      </c>
      <c r="D14" s="1">
        <f>(A14-A13)</f>
        <v>10</v>
      </c>
      <c r="E14" s="1">
        <f>(C14+C13)/2</f>
        <v>3.6400000000000077</v>
      </c>
      <c r="F14" s="1">
        <f>D14*E14</f>
        <v>36.40000000000008</v>
      </c>
      <c r="G14" s="1">
        <f>(D14^2+(C13-C14)^2)^0.5</f>
        <v>10.00511868995066</v>
      </c>
    </row>
    <row r="15">
      <c r="A15">
        <v>90</v>
      </c>
      <c r="B15" s="2">
        <v>96.46999999999998</v>
      </c>
      <c r="C15" s="1">
        <f>IF(B15&gt;$F$4,0,$F$4-B15)</f>
        <v>4.13000000000001</v>
      </c>
      <c r="D15" s="1">
        <f>(A15-A14)</f>
        <v>10</v>
      </c>
      <c r="E15" s="1">
        <f>(C15+C14)/2</f>
        <v>3.9650000000000105</v>
      </c>
      <c r="F15" s="1">
        <f>D15*E15</f>
        <v>39.650000000000105</v>
      </c>
      <c r="G15" s="1">
        <f>(D15^2+(C14-C15)^2)^0.5</f>
        <v>10.005443518405368</v>
      </c>
    </row>
    <row r="16">
      <c r="A16">
        <v>100</v>
      </c>
      <c r="B16" s="2">
        <v>96.49</v>
      </c>
      <c r="C16" s="1">
        <f>IF(B16&gt;$F$4,0,$F$4-B16)</f>
        <v>4.109999999999999</v>
      </c>
      <c r="D16" s="1">
        <f>(A16-A15)</f>
        <v>10</v>
      </c>
      <c r="E16" s="1">
        <f>(C16+C15)/2</f>
        <v>4.1200000000000045</v>
      </c>
      <c r="F16" s="1">
        <f>D16*E16</f>
        <v>41.200000000000045</v>
      </c>
      <c r="G16" s="1">
        <f>(D16^2+(C15-C16)^2)^0.5</f>
        <v>10.00001999998</v>
      </c>
    </row>
    <row r="17">
      <c r="A17">
        <v>110</v>
      </c>
      <c r="B17" s="2">
        <v>97.03999999999998</v>
      </c>
      <c r="C17" s="1">
        <f>IF(B17&gt;$F$4,0,$F$4-B17)</f>
        <v>3.5600000000000165</v>
      </c>
      <c r="D17" s="1">
        <f>(A17-A16)</f>
        <v>10</v>
      </c>
      <c r="E17" s="1">
        <f>(C17+C16)/2</f>
        <v>3.835000000000008</v>
      </c>
      <c r="F17" s="1">
        <f>D17*E17</f>
        <v>38.35000000000008</v>
      </c>
      <c r="G17" s="1">
        <f>(D17^2+(C16-C17)^2)^0.5</f>
        <v>10.01511357898651</v>
      </c>
    </row>
    <row r="18">
      <c r="A18">
        <v>120</v>
      </c>
      <c r="B18" s="2">
        <v>97.28999999999998</v>
      </c>
      <c r="C18" s="1">
        <f>IF(B18&gt;$F$4,0,$F$4-B18)</f>
        <v>3.3100000000000165</v>
      </c>
      <c r="D18" s="1">
        <f>(A18-A17)</f>
        <v>10</v>
      </c>
      <c r="E18" s="1">
        <f>(C18+C17)/2</f>
        <v>3.4350000000000165</v>
      </c>
      <c r="F18" s="1">
        <f>D18*E18</f>
        <v>34.350000000000165</v>
      </c>
      <c r="G18" s="1">
        <f>(D18^2+(C17-C18)^2)^0.5</f>
        <v>10.003124511871277</v>
      </c>
    </row>
    <row r="19">
      <c r="A19">
        <v>130</v>
      </c>
      <c r="B19" s="2">
        <v>97.73999999999998</v>
      </c>
      <c r="C19" s="1">
        <f>IF(B19&gt;$F$4,0,$F$4-B19)</f>
        <v>2.8600000000000136</v>
      </c>
      <c r="D19" s="1">
        <f>(A19-A18)</f>
        <v>10</v>
      </c>
      <c r="E19" s="1">
        <f>(C19+C18)/2</f>
        <v>3.085000000000015</v>
      </c>
      <c r="F19" s="1">
        <f>D19*E19</f>
        <v>30.85000000000015</v>
      </c>
      <c r="G19" s="1">
        <f>(D19^2+(C18-C19)^2)^0.5</f>
        <v>10.010119879402044</v>
      </c>
    </row>
    <row r="20">
      <c r="A20">
        <v>140</v>
      </c>
      <c r="B20" s="2">
        <v>98.12999999999998</v>
      </c>
      <c r="C20" s="1">
        <f>IF(B20&gt;$F$4,0,$F$4-B20)</f>
        <v>2.470000000000013</v>
      </c>
      <c r="D20" s="1">
        <f>(A20-A19)</f>
        <v>10</v>
      </c>
      <c r="E20" s="1">
        <f>(C20+C19)/2</f>
        <v>2.6650000000000134</v>
      </c>
      <c r="F20" s="1">
        <f>D20*E20</f>
        <v>26.650000000000134</v>
      </c>
      <c r="G20" s="1">
        <f>(D20^2+(C19-C20)^2)^0.5</f>
        <v>10.007602110395876</v>
      </c>
    </row>
    <row r="21">
      <c r="A21">
        <v>150</v>
      </c>
      <c r="B21" s="2">
        <v>98.84999999999998</v>
      </c>
      <c r="C21" s="1">
        <f>IF(B21&gt;$F$4,0,$F$4-B21)</f>
        <v>1.7500000000000142</v>
      </c>
      <c r="D21" s="1">
        <f>(A21-A20)</f>
        <v>10</v>
      </c>
      <c r="E21" s="1">
        <f>(C21+C20)/2</f>
        <v>2.1100000000000136</v>
      </c>
      <c r="F21" s="1">
        <f>D21*E21</f>
        <v>21.100000000000136</v>
      </c>
      <c r="G21" s="1">
        <f>(D21^2+(C20-C21)^2)^0.5</f>
        <v>10.025886494470202</v>
      </c>
    </row>
    <row r="22">
      <c r="A22">
        <v>160</v>
      </c>
      <c r="B22" s="2">
        <v>98.07</v>
      </c>
      <c r="C22" s="1">
        <f>IF(B22&gt;$F$4,0,$F$4-B22)</f>
        <v>2.530000000000001</v>
      </c>
      <c r="D22" s="1">
        <f>(A22-A21)</f>
        <v>10</v>
      </c>
      <c r="E22" s="1">
        <f>(C22+C21)/2</f>
        <v>2.1400000000000077</v>
      </c>
      <c r="F22" s="1">
        <f>D22*E22</f>
        <v>21.400000000000077</v>
      </c>
      <c r="G22" s="1">
        <f>(D22^2+(C21-C22)^2)^0.5</f>
        <v>10.030373871396817</v>
      </c>
    </row>
    <row r="23">
      <c r="A23">
        <v>170</v>
      </c>
      <c r="B23" s="2">
        <v>98.75</v>
      </c>
      <c r="C23" s="1">
        <f>IF(B23&gt;$F$4,0,$F$4-B23)</f>
        <v>1.8499999999999943</v>
      </c>
      <c r="D23" s="1">
        <f>(A23-A22)</f>
        <v>10</v>
      </c>
      <c r="E23" s="1">
        <f>(C23+C22)/2</f>
        <v>2.1899999999999977</v>
      </c>
      <c r="F23" s="1">
        <f>D23*E23</f>
        <v>21.899999999999977</v>
      </c>
      <c r="G23" s="1">
        <f>(D23^2+(C22-C23)^2)^0.5</f>
        <v>10.023093334894174</v>
      </c>
    </row>
    <row r="24">
      <c r="A24">
        <v>180</v>
      </c>
      <c r="B24" s="2">
        <v>101.85</v>
      </c>
      <c r="C24" s="1">
        <f>IF(B24&gt;$F$4,0,$F$4-B24)</f>
        <v>0</v>
      </c>
      <c r="D24" s="1">
        <f>(A24-A23)</f>
        <v>10</v>
      </c>
      <c r="E24" s="1">
        <f>(C24+C23)/2</f>
        <v>0.9249999999999972</v>
      </c>
      <c r="F24" s="1">
        <f>D24*E24</f>
        <v>9.249999999999972</v>
      </c>
      <c r="G24" s="1">
        <f>(D24^2+(C23-C24)^2)^0.5</f>
        <v>10.169685344198216</v>
      </c>
    </row>
    <row r="25">
      <c r="A25">
        <v>190</v>
      </c>
      <c r="B25" s="2">
        <v>102</v>
      </c>
      <c r="C25" s="1">
        <f>IF(B25&gt;$F$4,0,$F$4-B25)</f>
        <v>0</v>
      </c>
      <c r="D25" s="1">
        <f>(A25-A24)</f>
        <v>10</v>
      </c>
      <c r="E25" s="1">
        <f>(C25+C24)/2</f>
        <v>0</v>
      </c>
      <c r="F25" s="1">
        <f>D25*E25</f>
        <v>0</v>
      </c>
      <c r="G25" s="1">
        <f>(D25^2+(C24-C25)^2)^0.5</f>
        <v>10</v>
      </c>
    </row>
    <row r="26"/>
    <row r="27">
      <c r="C27" s="1" t="s">
        <v>171</v>
      </c>
      <c r="D27" s="1">
        <f>SUM(D6:D26)</f>
        <v>190</v>
      </c>
      <c r="F27" s="1">
        <f>SUM(F6:F26)</f>
        <v>490.3000000000011</v>
      </c>
      <c r="G27" s="1">
        <f>SUM(G6:G26)</f>
        <v>190.70731489786334</v>
      </c>
    </row>
    <row r="28">
      <c r="A28" s="1">
        <f>A6</f>
        <v>0</v>
      </c>
      <c r="B28" s="5">
        <f>HYDRAULICS!F4</f>
        <v>100.6</v>
      </c>
    </row>
    <row r="29">
      <c r="A29" s="1">
        <f>A25</f>
        <v>190</v>
      </c>
      <c r="B29" s="5">
        <f>B28</f>
        <v>100.6</v>
      </c>
    </row>
  </sheetData>
  <mergeCells count="3">
    <mergeCell ref="A1:J1"/>
    <mergeCell ref="A3:J3"/>
    <mergeCell ref="A2:J2"/>
  </mergeCells>
  <pageMargins left="0.75" right="0.75" top="1" bottom="1" header="0.5" footer="0.5"/>
  <ignoredErrors>
    <ignoredError numberStoredAsText="1" sqref="A1:J29"/>
  </ignoredErrors>
</worksheet>
</file>

<file path=xl/worksheets/sheet7.xml><?xml version="1.0" encoding="utf-8"?>
<worksheet xmlns="http://schemas.openxmlformats.org/spreadsheetml/2006/main" xmlns:r="http://schemas.openxmlformats.org/officeDocument/2006/relationships">
  <dimension ref="A1:K24"/>
  <sheetViews>
    <sheetView workbookViewId="0" rightToLeft="0"/>
  </sheetViews>
  <cols>
    <col min="1" max="1" customWidth="1" width="10.5703125"/>
  </cols>
  <sheetData>
    <row r="1" ht="15.75" customHeight="1">
      <c r="A1" t="s">
        <v>246</v>
      </c>
    </row>
    <row r="2" ht="36.75" customHeight="1">
      <c r="A2" t="s">
        <f>'CROSS SECTION'!A2:J2</f>
        <v>48</v>
      </c>
    </row>
    <row r="3" ht="38.25" customHeight="1">
      <c r="A3" t="s">
        <v>244</v>
      </c>
      <c r="B3" t="s">
        <v>245</v>
      </c>
    </row>
    <row r="4">
      <c r="A4" s="6">
        <v>0</v>
      </c>
      <c r="B4" s="7">
        <v>94.505</v>
      </c>
    </row>
    <row r="5">
      <c r="A5" s="5">
        <v>25</v>
      </c>
      <c r="B5" s="7">
        <f>B4-0.025</f>
        <v>94.47999999999999</v>
      </c>
    </row>
    <row r="6">
      <c r="A6" s="5">
        <f>A5+25</f>
        <v>50</v>
      </c>
      <c r="B6" s="7">
        <f>B5-0.025</f>
        <v>94.45499999999998</v>
      </c>
    </row>
    <row r="7">
      <c r="A7" s="5">
        <f>A6+25</f>
        <v>75</v>
      </c>
      <c r="B7" s="7">
        <f>B6-0.025</f>
        <v>94.42999999999998</v>
      </c>
    </row>
    <row r="8">
      <c r="A8" s="5">
        <f>A7+25</f>
        <v>100</v>
      </c>
      <c r="B8" s="7">
        <f>B7-0.025</f>
        <v>94.40499999999997</v>
      </c>
    </row>
    <row r="9">
      <c r="A9" s="5">
        <f>A8+25</f>
        <v>125</v>
      </c>
      <c r="B9" s="7">
        <v>94.37</v>
      </c>
    </row>
    <row r="10">
      <c r="A10" s="5">
        <f>A9+25</f>
        <v>150</v>
      </c>
      <c r="B10" s="7">
        <v>94.36</v>
      </c>
    </row>
    <row r="11">
      <c r="A11" s="5">
        <f>A10+25</f>
        <v>175</v>
      </c>
      <c r="B11" s="7">
        <f>B10-0.025</f>
        <v>94.335</v>
      </c>
    </row>
    <row r="12">
      <c r="A12" s="5">
        <f>A11+25</f>
        <v>200</v>
      </c>
      <c r="B12" s="7">
        <f>B11-0.025</f>
        <v>94.30999999999999</v>
      </c>
    </row>
    <row r="13">
      <c r="A13" s="5">
        <f>A12+25</f>
        <v>225</v>
      </c>
      <c r="B13" s="7">
        <f>B12-0.025</f>
        <v>94.28499999999998</v>
      </c>
    </row>
    <row r="14">
      <c r="A14" s="5">
        <v>235</v>
      </c>
      <c r="B14" s="7">
        <f>B13-0.025</f>
        <v>94.25999999999998</v>
      </c>
    </row>
    <row r="15"/>
    <row r="16"/>
    <row r="17">
      <c r="D17" t="s">
        <v>247</v>
      </c>
    </row>
    <row r="18">
      <c r="D18" t="s">
        <v>248</v>
      </c>
      <c r="E18" t="s">
        <v>249</v>
      </c>
    </row>
    <row r="19">
      <c r="D19" s="1">
        <f>A4</f>
        <v>0</v>
      </c>
      <c r="E19" s="7">
        <f>B4</f>
        <v>94.505</v>
      </c>
    </row>
    <row r="20">
      <c r="D20" s="1">
        <f>A14</f>
        <v>235</v>
      </c>
      <c r="E20" s="7">
        <f>B14</f>
        <v>94.25999999999998</v>
      </c>
    </row>
    <row r="21"/>
    <row r="22">
      <c r="G22" t="s">
        <v>250</v>
      </c>
      <c r="I22">
        <f>D20-D19</f>
        <v>235</v>
      </c>
      <c r="J22" t="s">
        <v>92</v>
      </c>
    </row>
    <row r="23">
      <c r="G23" t="s">
        <v>251</v>
      </c>
      <c r="I23">
        <f>E19-E20</f>
        <v>0.24500000000001876</v>
      </c>
      <c r="J23" t="s">
        <v>92</v>
      </c>
    </row>
    <row r="24">
      <c r="G24" t="s">
        <v>252</v>
      </c>
      <c r="H24">
        <v>1</v>
      </c>
      <c r="I24" t="s">
        <v>65</v>
      </c>
      <c r="J24">
        <f>ROUNDUP(I22/I23,0)</f>
        <v>960</v>
      </c>
    </row>
  </sheetData>
  <mergeCells count="3">
    <mergeCell ref="D17:E17"/>
    <mergeCell ref="A1:J1"/>
    <mergeCell ref="A2:J2"/>
  </mergeCells>
  <pageMargins left="0.75" right="0.75" top="1" bottom="1" header="0.5" footer="0.5"/>
  <ignoredErrors>
    <ignoredError numberStoredAsText="1" sqref="A1:K24"/>
  </ignoredErrors>
</worksheet>
</file>

<file path=xl/worksheets/sheet8.xml><?xml version="1.0" encoding="utf-8"?>
<worksheet xmlns="http://schemas.openxmlformats.org/spreadsheetml/2006/main" xmlns:r="http://schemas.openxmlformats.org/officeDocument/2006/relationships">
  <dimension ref="A70:L78"/>
  <sheetViews>
    <sheetView workbookViewId="0" rightToLeft="0"/>
  </sheetViews>
  <sheetData>
    <row r="70" ht="35.25" customHeight="1">
      <c r="A70" s="1" t="s">
        <v>253</v>
      </c>
    </row>
    <row r="71" ht="35.25" customHeight="1">
      <c r="A71" s="1" t="s">
        <v>253</v>
      </c>
    </row>
    <row r="72" ht="15" customHeight="1"/>
    <row r="73">
      <c r="A73" s="1" t="s">
        <v>254</v>
      </c>
    </row>
    <row r="74" ht="12" customHeight="1">
      <c r="D74" s="1">
        <v>20</v>
      </c>
      <c r="E74" s="1" t="s">
        <v>255</v>
      </c>
    </row>
    <row r="76">
      <c r="C76" t="s">
        <v>256</v>
      </c>
      <c r="D76" s="1">
        <f>D74*10</f>
        <v>200</v>
      </c>
      <c r="E76" s="1" t="s">
        <v>257</v>
      </c>
    </row>
    <row r="78">
      <c r="D78" t="s">
        <v>258</v>
      </c>
      <c r="F78" t="s">
        <v>259</v>
      </c>
    </row>
  </sheetData>
  <mergeCells count="5">
    <mergeCell ref="A70:I70"/>
    <mergeCell ref="A71:I71"/>
    <mergeCell ref="A73:I73"/>
    <mergeCell ref="E74:H74"/>
    <mergeCell ref="E76:H76"/>
  </mergeCells>
  <pageMargins left="0.7" right="0.7" top="0.75" bottom="0.75" header="0.3" footer="0.3"/>
  <ignoredErrors>
    <ignoredError numberStoredAsText="1" sqref="A70:L78"/>
  </ignoredErrors>
</worksheet>
</file>

<file path=xl/worksheets/sheet9.xml><?xml version="1.0" encoding="utf-8"?>
<worksheet xmlns="http://schemas.openxmlformats.org/spreadsheetml/2006/main" xmlns:r="http://schemas.openxmlformats.org/officeDocument/2006/relationships">
  <dimension ref="A1:AJ468"/>
  <sheetViews>
    <sheetView workbookViewId="0" rightToLeft="0"/>
  </sheetViews>
  <cols>
    <col min="1" max="1" customWidth="1" width="4"/>
    <col min="2" max="2" customWidth="1" width="33.140625"/>
    <col min="3" max="3" customWidth="1" width="3.140625"/>
    <col min="4" max="4" customWidth="1" width="10.42578125"/>
    <col min="5" max="5" customWidth="1" width="10.5703125"/>
    <col min="6" max="6" customWidth="1" width="10.85546875"/>
    <col min="7" max="7" customWidth="1" width="9.7109375"/>
    <col min="8" max="8" customWidth="1" width="11.28515625"/>
    <col min="9" max="9" customWidth="1" width="2.7109375"/>
    <col min="10" max="10" customWidth="1" width="11.7109375"/>
    <col min="11" max="11" customWidth="1" width="8.42578125"/>
    <col min="12" max="12" customWidth="1" width="10.85546875"/>
    <col min="13" max="13" customWidth="1" width="11.140625"/>
    <col min="14" max="14" customWidth="1" width="7.7109375"/>
    <col min="15" max="15" customWidth="1" width="5.42578125"/>
    <col min="16" max="16" customWidth="1" width="10.85546875"/>
    <col min="17" max="17" customWidth="1" width="3.28515625"/>
    <col min="18" max="18" customWidth="1" width="4.5703125"/>
    <col min="19" max="19" customWidth="1" width="4.5703125"/>
    <col min="20" max="20" customWidth="1" width="7.5703125"/>
    <col min="21" max="21" customWidth="1" width="5.57031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24" customHeight="1">
      <c r="A1" s="4" t="s">
        <v>260</v>
      </c>
    </row>
    <row r="2">
      <c r="A2" s="4" t="s">
        <f>'abstract of stresses'!A2:N2</f>
        <v>48</v>
      </c>
    </row>
    <row r="3">
      <c r="A3" s="4" t="s">
        <v>261</v>
      </c>
    </row>
    <row r="4" ht="13.5" customHeight="1"/>
    <row r="5" ht="13.5" customHeight="1">
      <c r="A5" s="4">
        <v>1</v>
      </c>
      <c r="B5" s="1" t="s">
        <v>262</v>
      </c>
      <c r="D5" s="1" t="s">
        <v>53</v>
      </c>
      <c r="E5" s="1">
        <v>7.6</v>
      </c>
      <c r="F5" s="1" t="s">
        <v>92</v>
      </c>
      <c r="G5" s="1" t="s">
        <v>263</v>
      </c>
      <c r="K5" s="1" t="s">
        <v>264</v>
      </c>
    </row>
    <row r="6">
      <c r="A6" s="4">
        <f>A5+1</f>
        <v>2</v>
      </c>
      <c r="B6" s="1" t="s">
        <v>265</v>
      </c>
      <c r="D6" s="1" t="s">
        <v>53</v>
      </c>
      <c r="E6" s="1">
        <f>E5+1.2</f>
        <v>8.799999999999999</v>
      </c>
      <c r="F6" s="1" t="s">
        <v>92</v>
      </c>
    </row>
    <row r="7">
      <c r="A7" s="4">
        <f>A6+1</f>
        <v>3</v>
      </c>
      <c r="B7" s="1" t="s">
        <v>266</v>
      </c>
      <c r="D7" s="1" t="s">
        <v>53</v>
      </c>
      <c r="E7" s="1">
        <v>8.4</v>
      </c>
      <c r="F7" s="1" t="s">
        <v>92</v>
      </c>
      <c r="H7" s="1" t="s">
        <v>267</v>
      </c>
    </row>
    <row r="8">
      <c r="A8" s="4">
        <f>A7+1</f>
        <v>4</v>
      </c>
      <c r="B8" s="1" t="s">
        <v>268</v>
      </c>
      <c r="D8" s="1" t="s">
        <v>53</v>
      </c>
      <c r="E8" s="1">
        <f>HYDRAULICS!F4</f>
        <v>100.6</v>
      </c>
      <c r="F8" s="1" t="s">
        <v>92</v>
      </c>
    </row>
    <row r="9">
      <c r="A9" s="4">
        <f>A8+1</f>
        <v>5</v>
      </c>
      <c r="B9" s="1" t="s">
        <v>269</v>
      </c>
    </row>
    <row r="10">
      <c r="A10" s="4">
        <f>A9+1</f>
        <v>6</v>
      </c>
      <c r="C10" s="1" t="s">
        <v>270</v>
      </c>
      <c r="D10" s="1" t="s">
        <v>53</v>
      </c>
      <c r="E10" s="1">
        <v>100</v>
      </c>
      <c r="F10" s="1" t="s">
        <v>271</v>
      </c>
    </row>
    <row r="11">
      <c r="A11" s="4">
        <f>A10+1</f>
        <v>7</v>
      </c>
      <c r="C11" s="1" t="s">
        <v>272</v>
      </c>
      <c r="D11" s="1" t="s">
        <v>53</v>
      </c>
      <c r="E11" s="1">
        <v>100</v>
      </c>
      <c r="F11" s="1" t="s">
        <v>271</v>
      </c>
    </row>
    <row r="12" ht="38.25" customHeight="1">
      <c r="A12" s="4">
        <f>A11+1</f>
        <v>8</v>
      </c>
      <c r="B12" s="1" t="s">
        <v>273</v>
      </c>
    </row>
    <row r="13">
      <c r="A13" s="4">
        <f>A12+1</f>
        <v>9</v>
      </c>
      <c r="B13" s="1" t="s">
        <v>274</v>
      </c>
      <c r="D13" s="1" t="s">
        <v>53</v>
      </c>
      <c r="E13" s="1">
        <f>HYDRAULICS!C35</f>
        <v>899.9299344694022</v>
      </c>
      <c r="F13" s="1" t="s">
        <v>177</v>
      </c>
    </row>
    <row r="14">
      <c r="A14" s="4">
        <f>A13+1</f>
        <v>10</v>
      </c>
      <c r="B14" s="1" t="s">
        <v>275</v>
      </c>
      <c r="D14" s="1" t="s">
        <v>53</v>
      </c>
      <c r="E14" s="4">
        <v>1</v>
      </c>
      <c r="F14" s="1" t="s">
        <v>65</v>
      </c>
      <c r="G14" s="4">
        <f>HYDRAULICS!C33</f>
        <v>960</v>
      </c>
    </row>
    <row r="15">
      <c r="A15" s="4">
        <f>A14+1</f>
        <v>11</v>
      </c>
      <c r="B15" s="1" t="s">
        <v>276</v>
      </c>
      <c r="D15" s="1" t="s">
        <v>53</v>
      </c>
      <c r="E15" s="1">
        <f>HYDRAULICS!C34</f>
        <v>1.8354679471127884</v>
      </c>
      <c r="F15" s="1" t="s">
        <v>153</v>
      </c>
    </row>
    <row r="16" ht="25.5" customHeight="1">
      <c r="A16" s="4">
        <f>A15+1</f>
        <v>12</v>
      </c>
      <c r="B16" s="1" t="s">
        <v>277</v>
      </c>
      <c r="D16" s="1" t="s">
        <v>53</v>
      </c>
      <c r="E16" s="1">
        <f>HYDRAULICS!E43</f>
        <v>96.46999999999998</v>
      </c>
      <c r="F16" s="1" t="s">
        <v>92</v>
      </c>
    </row>
    <row r="17" ht="20.25" customHeight="1">
      <c r="A17" s="4">
        <f>A16+1</f>
        <v>13</v>
      </c>
      <c r="B17" s="1" t="s">
        <v>278</v>
      </c>
      <c r="D17" s="1" t="s">
        <v>53</v>
      </c>
      <c r="E17" s="1">
        <v>20</v>
      </c>
      <c r="F17" s="1" t="s">
        <v>279</v>
      </c>
      <c r="G17" s="1">
        <f>E17*10</f>
        <v>200</v>
      </c>
      <c r="H17" s="1" t="s">
        <v>280</v>
      </c>
    </row>
    <row r="18">
      <c r="A18" s="4">
        <f>A17+1</f>
        <v>14</v>
      </c>
      <c r="B18" s="1" t="s">
        <v>281</v>
      </c>
      <c r="D18" s="1" t="s">
        <v>53</v>
      </c>
      <c r="E18" s="1">
        <f>HYDRAULICS!E45</f>
        <v>93.46999999999998</v>
      </c>
      <c r="F18" s="1" t="s">
        <v>92</v>
      </c>
    </row>
    <row r="19" ht="25.5" customHeight="1">
      <c r="A19" s="4">
        <f>A18+1</f>
        <v>15</v>
      </c>
      <c r="B19" s="1" t="s">
        <v>282</v>
      </c>
      <c r="D19" s="1" t="s">
        <v>53</v>
      </c>
      <c r="E19" s="1">
        <v>1.5</v>
      </c>
      <c r="F19" s="1" t="s">
        <v>92</v>
      </c>
      <c r="G19" s="1" t="s">
        <v>283</v>
      </c>
    </row>
    <row r="20" ht="25.5" customHeight="1">
      <c r="A20" s="4">
        <f>A19+1</f>
        <v>16</v>
      </c>
      <c r="B20" s="1" t="s">
        <v>284</v>
      </c>
      <c r="D20" s="1" t="s">
        <v>53</v>
      </c>
      <c r="E20" s="2">
        <f>E18-E19</f>
        <v>91.96999999999998</v>
      </c>
      <c r="F20" s="1" t="s">
        <v>92</v>
      </c>
    </row>
    <row r="21">
      <c r="A21" s="4">
        <f>A20+1</f>
        <v>17</v>
      </c>
      <c r="B21" s="1" t="s">
        <v>285</v>
      </c>
      <c r="D21" s="1" t="s">
        <v>53</v>
      </c>
      <c r="E21" s="2">
        <f>'afflux calculation'!B50</f>
        <v>101.6</v>
      </c>
      <c r="F21" s="1" t="s">
        <v>92</v>
      </c>
    </row>
    <row r="22">
      <c r="A22" s="4">
        <f>A21+1</f>
        <v>18</v>
      </c>
      <c r="B22" s="1" t="s">
        <v>286</v>
      </c>
      <c r="D22" s="1" t="s">
        <v>53</v>
      </c>
      <c r="E22" s="2">
        <f>E21-H27-H28</f>
        <v>100.77499999999999</v>
      </c>
      <c r="F22" s="1" t="s">
        <v>92</v>
      </c>
    </row>
    <row r="23" ht="25.5" customHeight="1">
      <c r="A23" s="4">
        <f>A22+1</f>
        <v>19</v>
      </c>
      <c r="B23" s="1" t="s">
        <v>287</v>
      </c>
      <c r="D23" s="1" t="s">
        <v>53</v>
      </c>
      <c r="E23" s="1">
        <f>E22-E20</f>
        <v>8.805000000000007</v>
      </c>
      <c r="F23" s="1" t="s">
        <v>92</v>
      </c>
    </row>
    <row r="24">
      <c r="A24" s="4" t="s">
        <f>CONCATENATE("CHECKING STABILITY OF PIER AT R.L.",E20," ",F20, "  FOOTING LEVEL")</f>
        <v>288</v>
      </c>
    </row>
    <row r="25">
      <c r="A25" s="4" t="s">
        <v>56</v>
      </c>
      <c r="B25" s="1" t="s">
        <v>289</v>
      </c>
    </row>
    <row r="26">
      <c r="B26" s="1" t="s">
        <v>290</v>
      </c>
      <c r="H26" s="1" t="s">
        <v>291</v>
      </c>
    </row>
    <row r="27">
      <c r="B27" s="1" t="s">
        <v>205</v>
      </c>
      <c r="C27" s="1" t="s">
        <v>53</v>
      </c>
      <c r="D27" s="1">
        <f>E6</f>
        <v>8.799999999999999</v>
      </c>
      <c r="E27" s="1" t="s">
        <v>91</v>
      </c>
      <c r="F27" s="1">
        <v>8.4</v>
      </c>
      <c r="G27" s="1" t="s">
        <v>91</v>
      </c>
      <c r="H27" s="1">
        <v>0.75</v>
      </c>
      <c r="I27" s="1" t="s">
        <v>91</v>
      </c>
      <c r="J27" s="1">
        <v>24</v>
      </c>
      <c r="K27" s="1" t="s">
        <v>53</v>
      </c>
      <c r="L27" s="1">
        <f>D27*F27*H27*J27</f>
        <v>1330.5599999999997</v>
      </c>
      <c r="M27" s="1" t="s">
        <v>204</v>
      </c>
    </row>
    <row r="28">
      <c r="B28" s="1" t="s">
        <v>206</v>
      </c>
      <c r="C28" s="1" t="s">
        <v>53</v>
      </c>
      <c r="D28" s="1">
        <f>D27</f>
        <v>8.799999999999999</v>
      </c>
      <c r="E28" s="1" t="s">
        <v>91</v>
      </c>
      <c r="F28" s="1">
        <v>8.4</v>
      </c>
      <c r="G28" s="1" t="s">
        <v>91</v>
      </c>
      <c r="H28" s="2">
        <v>0.075</v>
      </c>
      <c r="I28" s="1" t="s">
        <v>91</v>
      </c>
      <c r="J28" s="1">
        <v>24</v>
      </c>
      <c r="K28" s="1" t="s">
        <v>53</v>
      </c>
      <c r="L28" s="1">
        <f>D28*F28*H28*J28</f>
        <v>133.05599999999998</v>
      </c>
      <c r="M28" s="1" t="s">
        <v>204</v>
      </c>
    </row>
    <row r="29">
      <c r="B29" s="1" t="s">
        <v>171</v>
      </c>
      <c r="L29" s="1">
        <f>SUM(L27:L28)</f>
        <v>1463.6159999999998</v>
      </c>
      <c r="M29" s="1" t="s">
        <v>204</v>
      </c>
    </row>
    <row r="30">
      <c r="B30" s="1" t="s">
        <v>292</v>
      </c>
    </row>
    <row r="31">
      <c r="B31" s="1" t="s">
        <v>293</v>
      </c>
    </row>
    <row r="32">
      <c r="B32" s="1" t="s">
        <v>293</v>
      </c>
      <c r="C32" s="1" t="s">
        <v>53</v>
      </c>
      <c r="D32" s="1">
        <v>1.5</v>
      </c>
      <c r="E32" s="1" t="s">
        <v>91</v>
      </c>
      <c r="F32" s="1">
        <v>8.4</v>
      </c>
      <c r="G32" s="1" t="s">
        <v>91</v>
      </c>
      <c r="H32" s="1">
        <v>0.6</v>
      </c>
      <c r="I32" s="1" t="s">
        <v>91</v>
      </c>
      <c r="J32" s="1">
        <v>24</v>
      </c>
      <c r="O32" s="1" t="s">
        <v>53</v>
      </c>
      <c r="P32" s="2">
        <f>J32*H32*F32*D32</f>
        <v>181.44</v>
      </c>
      <c r="Q32" s="1" t="s">
        <v>204</v>
      </c>
    </row>
    <row r="33">
      <c r="B33" s="1" t="s">
        <v>294</v>
      </c>
      <c r="C33" s="1" t="s">
        <v>53</v>
      </c>
      <c r="D33" s="1">
        <v>0.5</v>
      </c>
      <c r="E33" s="1" t="s">
        <v>91</v>
      </c>
      <c r="F33" s="1">
        <v>0.15</v>
      </c>
      <c r="G33" s="1" t="s">
        <v>91</v>
      </c>
      <c r="H33" s="1">
        <v>0.6</v>
      </c>
      <c r="I33" s="1" t="s">
        <v>91</v>
      </c>
      <c r="J33" s="1">
        <f>F32</f>
        <v>8.4</v>
      </c>
      <c r="K33" s="1" t="s">
        <v>91</v>
      </c>
      <c r="L33" s="1">
        <v>2</v>
      </c>
      <c r="M33" s="1" t="s">
        <v>91</v>
      </c>
      <c r="N33" s="1">
        <v>24</v>
      </c>
      <c r="O33" s="1" t="s">
        <v>53</v>
      </c>
      <c r="P33" s="2">
        <f>D33*F33*H33*J33*L33*N33</f>
        <v>18.144</v>
      </c>
      <c r="Q33" s="1" t="s">
        <v>204</v>
      </c>
    </row>
    <row r="34">
      <c r="C34" s="1" t="s">
        <v>53</v>
      </c>
      <c r="D34" s="1">
        <v>0.5</v>
      </c>
      <c r="E34" s="1" t="s">
        <v>91</v>
      </c>
      <c r="F34" s="1">
        <f>F33</f>
        <v>0.15</v>
      </c>
      <c r="G34" s="1" t="s">
        <v>91</v>
      </c>
      <c r="H34" s="1">
        <v>0.6</v>
      </c>
      <c r="I34" s="1" t="s">
        <v>91</v>
      </c>
      <c r="J34" s="1">
        <v>3.14</v>
      </c>
      <c r="K34" s="1" t="s">
        <v>91</v>
      </c>
      <c r="L34" s="1">
        <v>1.2</v>
      </c>
      <c r="M34" s="1" t="s">
        <v>91</v>
      </c>
      <c r="N34" s="1">
        <v>24</v>
      </c>
      <c r="O34" s="1" t="s">
        <v>53</v>
      </c>
      <c r="P34" s="2">
        <f>D34*F34*H34*J34*L34*N34</f>
        <v>4.06944</v>
      </c>
      <c r="Q34" s="1" t="s">
        <v>204</v>
      </c>
    </row>
    <row r="35">
      <c r="B35" s="1" t="s">
        <v>295</v>
      </c>
      <c r="C35" s="1" t="s">
        <v>53</v>
      </c>
      <c r="D35" s="1">
        <v>0.6</v>
      </c>
      <c r="E35" s="1" t="s">
        <v>91</v>
      </c>
      <c r="F35" s="1">
        <v>0.6</v>
      </c>
      <c r="G35" s="1" t="s">
        <v>91</v>
      </c>
      <c r="H35" s="1">
        <v>1.5</v>
      </c>
      <c r="I35" s="1" t="s">
        <v>91</v>
      </c>
      <c r="J35" s="1">
        <v>24</v>
      </c>
      <c r="O35" s="1" t="s">
        <v>53</v>
      </c>
      <c r="P35" s="2">
        <f>J35*H35*F35*D35</f>
        <v>12.959999999999999</v>
      </c>
      <c r="Q35" s="1" t="s">
        <v>204</v>
      </c>
    </row>
    <row r="36">
      <c r="C36" s="1" t="s">
        <v>53</v>
      </c>
      <c r="D36" s="1">
        <v>3.14</v>
      </c>
      <c r="E36" s="1" t="s">
        <v>107</v>
      </c>
      <c r="F36" s="1">
        <v>4</v>
      </c>
      <c r="G36" s="1" t="s">
        <v>91</v>
      </c>
      <c r="H36" s="1">
        <v>1.2</v>
      </c>
      <c r="I36" s="1" t="s">
        <v>91</v>
      </c>
      <c r="J36" s="1">
        <v>1.2</v>
      </c>
      <c r="K36" s="1" t="s">
        <v>91</v>
      </c>
      <c r="L36" s="1">
        <v>0.6</v>
      </c>
      <c r="M36" s="1" t="s">
        <v>91</v>
      </c>
      <c r="N36" s="1">
        <v>24</v>
      </c>
      <c r="O36" s="1" t="s">
        <v>53</v>
      </c>
      <c r="P36" s="2">
        <f>D36/F36*H36*J36*L36*N36</f>
        <v>16.277759999999997</v>
      </c>
      <c r="Q36" s="1" t="s">
        <v>204</v>
      </c>
    </row>
    <row r="37">
      <c r="B37" s="1" t="s">
        <v>171</v>
      </c>
      <c r="P37" s="2">
        <f>SUM(P32:P36)</f>
        <v>232.8912</v>
      </c>
      <c r="Q37" s="1" t="s">
        <v>204</v>
      </c>
    </row>
    <row r="38">
      <c r="B38" s="1" t="s">
        <v>296</v>
      </c>
    </row>
    <row r="39">
      <c r="B39" s="1" t="s">
        <v>297</v>
      </c>
      <c r="C39" s="1" t="s">
        <v>53</v>
      </c>
      <c r="D39" s="1">
        <v>0.5</v>
      </c>
      <c r="E39" s="1" t="s">
        <v>91</v>
      </c>
      <c r="F39" s="1">
        <f>F33</f>
        <v>0.15</v>
      </c>
      <c r="G39" s="1" t="s">
        <v>91</v>
      </c>
      <c r="H39" s="1">
        <v>0.6</v>
      </c>
      <c r="I39" s="1" t="s">
        <v>91</v>
      </c>
      <c r="J39" s="1">
        <f>F32</f>
        <v>8.4</v>
      </c>
      <c r="K39" s="1" t="s">
        <v>91</v>
      </c>
      <c r="L39" s="4">
        <v>2</v>
      </c>
      <c r="M39" s="1" t="s">
        <v>91</v>
      </c>
      <c r="N39" s="1">
        <v>24</v>
      </c>
      <c r="O39" s="1" t="s">
        <v>53</v>
      </c>
      <c r="P39" s="2">
        <f>D39*F39*H39*J39*L39*N39</f>
        <v>18.144</v>
      </c>
      <c r="Q39" s="1" t="s">
        <v>204</v>
      </c>
    </row>
    <row r="40">
      <c r="C40" s="1" t="s">
        <v>53</v>
      </c>
      <c r="D40" s="1">
        <v>0.5</v>
      </c>
      <c r="E40" s="1" t="s">
        <v>91</v>
      </c>
      <c r="F40" s="1">
        <f>F34</f>
        <v>0.15</v>
      </c>
      <c r="G40" s="1" t="s">
        <v>91</v>
      </c>
      <c r="H40" s="1">
        <v>0.6</v>
      </c>
      <c r="I40" s="1" t="s">
        <v>91</v>
      </c>
      <c r="J40" s="1">
        <v>3.14</v>
      </c>
      <c r="K40" s="1" t="s">
        <v>91</v>
      </c>
      <c r="L40" s="1">
        <f>L34</f>
        <v>1.2</v>
      </c>
      <c r="M40" s="1" t="s">
        <v>91</v>
      </c>
      <c r="N40" s="1">
        <v>24</v>
      </c>
      <c r="O40" s="1" t="s">
        <v>53</v>
      </c>
      <c r="P40" s="2">
        <f>D40*F40*H40*J40*L40*N40</f>
        <v>4.06944</v>
      </c>
      <c r="Q40" s="1" t="s">
        <v>204</v>
      </c>
    </row>
    <row r="41">
      <c r="B41" s="1" t="s">
        <v>298</v>
      </c>
      <c r="C41" s="1" t="s">
        <v>53</v>
      </c>
      <c r="D41" s="1">
        <v>1.2</v>
      </c>
      <c r="E41" s="1" t="s">
        <v>91</v>
      </c>
      <c r="F41" s="1">
        <v>7.5</v>
      </c>
      <c r="G41" s="1" t="s">
        <v>91</v>
      </c>
      <c r="H41" s="1">
        <f>E23-1.2-0.6-1.05</f>
        <v>5.955000000000007</v>
      </c>
      <c r="I41" s="1" t="s">
        <v>91</v>
      </c>
      <c r="J41" s="1">
        <v>24</v>
      </c>
      <c r="O41" s="1" t="s">
        <v>53</v>
      </c>
      <c r="P41" s="2">
        <f>J41*H41*F41*D41</f>
        <v>1286.2800000000018</v>
      </c>
      <c r="Q41" s="1" t="s">
        <v>204</v>
      </c>
    </row>
    <row r="42">
      <c r="B42" s="1" t="s">
        <v>299</v>
      </c>
      <c r="C42" s="1" t="s">
        <v>53</v>
      </c>
      <c r="D42" s="1">
        <v>3.14</v>
      </c>
      <c r="E42" s="1" t="s">
        <v>107</v>
      </c>
      <c r="F42" s="4">
        <v>4</v>
      </c>
      <c r="G42" s="1" t="s">
        <v>91</v>
      </c>
      <c r="H42" s="1">
        <f>D41</f>
        <v>1.2</v>
      </c>
      <c r="I42" s="1" t="s">
        <v>91</v>
      </c>
      <c r="J42" s="1">
        <f>D41</f>
        <v>1.2</v>
      </c>
      <c r="K42" s="1" t="s">
        <v>91</v>
      </c>
      <c r="L42" s="1">
        <f>H41</f>
        <v>5.955000000000007</v>
      </c>
      <c r="M42" s="1" t="s">
        <v>91</v>
      </c>
      <c r="N42" s="1">
        <v>24</v>
      </c>
      <c r="O42" s="1" t="s">
        <v>53</v>
      </c>
      <c r="P42" s="2">
        <f>D42/F42*H42*J42*L42*N42</f>
        <v>161.55676800000018</v>
      </c>
      <c r="Q42" s="1" t="s">
        <v>204</v>
      </c>
    </row>
    <row r="43" hidden="1">
      <c r="B43" s="1" t="s">
        <v>300</v>
      </c>
      <c r="C43" s="1" t="s">
        <v>53</v>
      </c>
      <c r="D43" s="1">
        <v>0.5</v>
      </c>
      <c r="E43" s="1" t="s">
        <v>91</v>
      </c>
      <c r="F43" s="1">
        <v>0.3</v>
      </c>
      <c r="G43" s="1" t="s">
        <v>91</v>
      </c>
      <c r="H43" s="1">
        <v>0.6</v>
      </c>
      <c r="I43" s="1" t="s">
        <v>91</v>
      </c>
      <c r="J43" s="1">
        <v>3.14</v>
      </c>
      <c r="K43" s="1" t="s">
        <v>91</v>
      </c>
      <c r="L43" s="1">
        <v>0.8</v>
      </c>
      <c r="M43" s="1" t="s">
        <v>91</v>
      </c>
      <c r="N43" s="1">
        <v>24</v>
      </c>
      <c r="O43" s="1" t="s">
        <v>53</v>
      </c>
      <c r="P43" s="2">
        <f>D43*F43*H43*J43*L43*N43</f>
        <v>5.4259200000000005</v>
      </c>
      <c r="Q43" s="1" t="s">
        <v>204</v>
      </c>
    </row>
    <row r="44">
      <c r="B44" s="1" t="s">
        <v>301</v>
      </c>
      <c r="C44" s="1" t="s">
        <v>53</v>
      </c>
      <c r="D44" s="1">
        <v>0.5</v>
      </c>
      <c r="E44" s="1" t="s">
        <v>91</v>
      </c>
      <c r="F44" s="1">
        <v>0.6</v>
      </c>
      <c r="G44" s="1" t="s">
        <v>91</v>
      </c>
      <c r="H44" s="1">
        <f>F43</f>
        <v>0.3</v>
      </c>
      <c r="I44" s="1" t="s">
        <v>91</v>
      </c>
      <c r="J44" s="1">
        <v>24</v>
      </c>
      <c r="O44" s="1" t="s">
        <v>53</v>
      </c>
      <c r="P44" s="2">
        <f>J44*H44*F44*D44</f>
        <v>2.1599999999999997</v>
      </c>
      <c r="Q44" s="1" t="s">
        <v>204</v>
      </c>
    </row>
    <row r="45">
      <c r="C45" s="1" t="s">
        <v>53</v>
      </c>
      <c r="D45" s="1">
        <v>3.14</v>
      </c>
      <c r="E45" s="1" t="s">
        <v>107</v>
      </c>
      <c r="F45" s="4">
        <v>4</v>
      </c>
      <c r="G45" s="1" t="s">
        <v>91</v>
      </c>
      <c r="H45" s="1">
        <v>1.2</v>
      </c>
      <c r="I45" s="1" t="s">
        <v>91</v>
      </c>
      <c r="J45" s="1">
        <v>1.2</v>
      </c>
      <c r="K45" s="1" t="s">
        <v>91</v>
      </c>
      <c r="L45" s="1">
        <v>0.6</v>
      </c>
      <c r="M45" s="1" t="s">
        <v>91</v>
      </c>
      <c r="N45" s="1">
        <v>24</v>
      </c>
      <c r="O45" s="1" t="s">
        <v>53</v>
      </c>
      <c r="P45" s="2">
        <f>D45/F45*H45*J45*L45*N45</f>
        <v>16.277759999999997</v>
      </c>
      <c r="Q45" s="1" t="s">
        <v>204</v>
      </c>
    </row>
    <row r="46">
      <c r="B46" s="1" t="s">
        <v>171</v>
      </c>
      <c r="P46" s="2">
        <f>SUM(P39:P45)</f>
        <v>1493.9138880000019</v>
      </c>
      <c r="Q46" s="1" t="s">
        <v>204</v>
      </c>
    </row>
    <row r="47"/>
    <row r="48">
      <c r="B48" s="1" t="s">
        <v>302</v>
      </c>
      <c r="C48" s="1" t="s">
        <v>53</v>
      </c>
      <c r="P48" s="2">
        <v>0</v>
      </c>
      <c r="Q48" s="1" t="s">
        <v>204</v>
      </c>
    </row>
    <row r="49">
      <c r="B49" s="1" t="s">
        <v>303</v>
      </c>
      <c r="C49" s="1" t="s">
        <v>53</v>
      </c>
      <c r="D49" s="1">
        <f>P46</f>
        <v>1493.9138880000019</v>
      </c>
      <c r="E49" s="1" t="s">
        <v>136</v>
      </c>
      <c r="F49" s="1">
        <f>P48</f>
        <v>0</v>
      </c>
      <c r="O49" s="1" t="s">
        <v>53</v>
      </c>
      <c r="P49" s="2">
        <f>P46-P48</f>
        <v>1493.9138880000019</v>
      </c>
      <c r="Q49" s="1" t="s">
        <v>204</v>
      </c>
    </row>
    <row r="50"/>
    <row r="51">
      <c r="B51" s="1" t="s">
        <v>304</v>
      </c>
      <c r="C51" s="1" t="s">
        <v>53</v>
      </c>
      <c r="D51" s="1">
        <f>P48</f>
        <v>0</v>
      </c>
      <c r="E51" s="1" t="s">
        <v>305</v>
      </c>
      <c r="F51" s="1">
        <f>P49</f>
        <v>1493.9138880000019</v>
      </c>
      <c r="G51" s="1" t="s">
        <v>91</v>
      </c>
      <c r="H51" s="1">
        <v>22.5</v>
      </c>
      <c r="I51" s="1" t="s">
        <v>107</v>
      </c>
      <c r="J51" s="1">
        <v>24</v>
      </c>
      <c r="K51" s="1" t="s">
        <v>105</v>
      </c>
      <c r="O51" s="1" t="s">
        <v>53</v>
      </c>
      <c r="P51" s="2">
        <f>P48+P49*2.25/2.4</f>
        <v>1400.544270000002</v>
      </c>
      <c r="Q51" s="1" t="s">
        <v>204</v>
      </c>
    </row>
    <row r="52">
      <c r="B52" s="1" t="s">
        <v>306</v>
      </c>
      <c r="D52" s="1" t="s">
        <v>307</v>
      </c>
      <c r="E52" s="1">
        <f>'STABILITY CHECK FOR PIER'!E7+2*(M63+M64+M65)</f>
        <v>12</v>
      </c>
      <c r="F52" s="1" t="s">
        <v>308</v>
      </c>
      <c r="G52" s="1">
        <f>'afflux calculation'!B62+2*(M63+M64+M66)</f>
        <v>3.8</v>
      </c>
      <c r="H52" s="1" t="s">
        <v>308</v>
      </c>
      <c r="J52" s="1">
        <v>1</v>
      </c>
      <c r="K52" s="1" t="s">
        <v>92</v>
      </c>
    </row>
    <row r="53">
      <c r="B53" s="1" t="s">
        <v>309</v>
      </c>
      <c r="C53" s="1" t="s">
        <v>53</v>
      </c>
      <c r="D53" s="1">
        <f>E52</f>
        <v>12</v>
      </c>
      <c r="E53" s="1" t="s">
        <v>91</v>
      </c>
      <c r="F53" s="1">
        <f>G52</f>
        <v>3.8</v>
      </c>
      <c r="G53" s="1" t="s">
        <v>91</v>
      </c>
      <c r="H53" s="1">
        <f>J52</f>
        <v>1</v>
      </c>
      <c r="I53" s="1" t="s">
        <v>91</v>
      </c>
      <c r="J53" s="1">
        <v>24</v>
      </c>
      <c r="O53" s="1" t="s">
        <v>53</v>
      </c>
      <c r="P53" s="2">
        <f>J53*H53*F53*D53</f>
        <v>1094.3999999999999</v>
      </c>
      <c r="Q53" s="1" t="s">
        <v>204</v>
      </c>
    </row>
    <row r="54">
      <c r="B54" s="1" t="s">
        <v>310</v>
      </c>
      <c r="C54" s="1" t="s">
        <v>53</v>
      </c>
      <c r="D54" s="1">
        <f>D53</f>
        <v>12</v>
      </c>
      <c r="E54" s="1" t="s">
        <f>E53</f>
        <v>91</v>
      </c>
      <c r="F54" s="1">
        <f>F53</f>
        <v>3.8</v>
      </c>
      <c r="G54" s="1" t="s">
        <f>G53</f>
        <v>91</v>
      </c>
      <c r="H54" s="1">
        <f>H53</f>
        <v>1</v>
      </c>
      <c r="I54" s="1" t="s">
        <f>I53</f>
        <v>91</v>
      </c>
      <c r="J54" s="1">
        <v>14</v>
      </c>
      <c r="O54" s="1" t="s">
        <f>O53</f>
        <v>53</v>
      </c>
      <c r="P54" s="2">
        <f>J54*H54*F54*D54</f>
        <v>638.4</v>
      </c>
      <c r="Q54" s="1" t="s">
        <f>Q53</f>
        <v>204</v>
      </c>
    </row>
    <row r="55">
      <c r="B55" s="1" t="s">
        <v>311</v>
      </c>
    </row>
    <row r="56">
      <c r="C56" s="1" t="s">
        <v>53</v>
      </c>
      <c r="D56" s="1">
        <f>P37</f>
        <v>232.8912</v>
      </c>
      <c r="E56" s="1" t="s">
        <v>148</v>
      </c>
      <c r="F56" s="1">
        <f>P46</f>
        <v>1493.9138880000019</v>
      </c>
      <c r="G56" s="1" t="s">
        <v>148</v>
      </c>
      <c r="H56" s="1">
        <f>P53</f>
        <v>1094.3999999999999</v>
      </c>
      <c r="O56" s="1" t="s">
        <v>53</v>
      </c>
      <c r="P56" s="2">
        <f>H56+F56+D56</f>
        <v>2821.2050880000015</v>
      </c>
      <c r="Q56" s="1" t="s">
        <v>204</v>
      </c>
    </row>
    <row r="57" hidden="1">
      <c r="B57" s="1" t="s">
        <v>300</v>
      </c>
      <c r="C57" s="1" t="s">
        <v>53</v>
      </c>
      <c r="D57" s="1">
        <v>0.5</v>
      </c>
      <c r="E57" s="1" t="s">
        <v>91</v>
      </c>
      <c r="F57" s="1">
        <v>0.3</v>
      </c>
      <c r="G57" s="1" t="s">
        <v>91</v>
      </c>
      <c r="H57" s="1">
        <v>0.6</v>
      </c>
      <c r="I57" s="1" t="s">
        <v>91</v>
      </c>
      <c r="J57" s="1">
        <v>3.14</v>
      </c>
      <c r="K57" s="1" t="s">
        <v>91</v>
      </c>
      <c r="L57" s="1">
        <v>0.8</v>
      </c>
      <c r="M57" s="1" t="s">
        <v>91</v>
      </c>
      <c r="N57" s="1">
        <v>24</v>
      </c>
      <c r="O57" s="1" t="s">
        <v>53</v>
      </c>
      <c r="P57" s="2">
        <f>D57*F57*H57*J57*L57*N57</f>
        <v>5.4259200000000005</v>
      </c>
      <c r="Q57" s="1" t="s">
        <v>204</v>
      </c>
    </row>
    <row r="58">
      <c r="B58" s="1" t="s">
        <v>312</v>
      </c>
    </row>
    <row r="59">
      <c r="C59" s="1" t="s">
        <v>53</v>
      </c>
      <c r="D59" s="1">
        <f>D56</f>
        <v>232.8912</v>
      </c>
      <c r="E59" s="1" t="s">
        <v>148</v>
      </c>
      <c r="F59" s="1">
        <f>P51</f>
        <v>1400.544270000002</v>
      </c>
      <c r="G59" s="1" t="s">
        <v>148</v>
      </c>
      <c r="H59" s="1">
        <f>P54</f>
        <v>638.4</v>
      </c>
      <c r="O59" s="1" t="s">
        <v>53</v>
      </c>
      <c r="P59" s="2">
        <f>H59+F59+D59</f>
        <v>2271.835470000002</v>
      </c>
      <c r="Q59" s="1" t="s">
        <v>204</v>
      </c>
    </row>
    <row r="60"/>
    <row r="61">
      <c r="A61" s="4" t="s">
        <v>313</v>
      </c>
      <c r="B61" s="1" t="s">
        <v>314</v>
      </c>
    </row>
    <row r="62" ht="33.75" customHeight="1">
      <c r="B62" s="1" t="s">
        <v>315</v>
      </c>
      <c r="C62" s="1" t="s">
        <v>53</v>
      </c>
      <c r="D62" s="1">
        <f>F63</f>
        <v>788.2663473053892</v>
      </c>
      <c r="E62" s="1" t="s">
        <v>91</v>
      </c>
      <c r="F62" s="1">
        <v>1</v>
      </c>
      <c r="G62" s="1" t="s">
        <v>53</v>
      </c>
      <c r="H62" s="1">
        <f>D62*F62</f>
        <v>788.2663473053892</v>
      </c>
      <c r="J62" s="1" t="s">
        <v>204</v>
      </c>
    </row>
    <row r="63" ht="37.5" customHeight="1">
      <c r="B63" s="1" t="s">
        <v>316</v>
      </c>
      <c r="C63" s="1" t="s">
        <v>53</v>
      </c>
      <c r="D63" s="1">
        <f>'LL-ABSTRACT'!H2</f>
        <v>78.82663473053893</v>
      </c>
      <c r="E63" s="1" t="s">
        <v>317</v>
      </c>
      <c r="F63" s="1">
        <f>D63*10</f>
        <v>788.2663473053892</v>
      </c>
      <c r="G63" s="1" t="s">
        <v>204</v>
      </c>
      <c r="L63" s="1" t="s">
        <v>318</v>
      </c>
      <c r="M63" s="1">
        <v>0.6</v>
      </c>
      <c r="N63" s="1" t="s">
        <v>92</v>
      </c>
    </row>
    <row r="64">
      <c r="L64" s="1" t="s">
        <v>319</v>
      </c>
      <c r="M64" s="1">
        <v>0.2</v>
      </c>
      <c r="N64" s="1" t="s">
        <v>92</v>
      </c>
    </row>
    <row r="65">
      <c r="B65" s="1" t="s">
        <v>320</v>
      </c>
      <c r="L65" s="1" t="s">
        <v>321</v>
      </c>
      <c r="M65" s="1">
        <v>1</v>
      </c>
      <c r="N65" s="1" t="s">
        <v>92</v>
      </c>
    </row>
    <row r="66" ht="47.25" customHeight="1">
      <c r="B66" s="1" t="s">
        <v>322</v>
      </c>
      <c r="C66" s="1" t="s">
        <v>53</v>
      </c>
      <c r="D66" s="1">
        <f>F68</f>
        <v>122.12665868263474</v>
      </c>
      <c r="E66" s="1" t="s">
        <v>91</v>
      </c>
      <c r="F66" s="1">
        <v>2</v>
      </c>
      <c r="G66" s="1" t="s">
        <v>53</v>
      </c>
      <c r="H66" s="1">
        <f>D66*F66</f>
        <v>244.25331736526948</v>
      </c>
      <c r="J66" s="1" t="s">
        <v>323</v>
      </c>
      <c r="L66" s="1" t="s">
        <v>324</v>
      </c>
      <c r="M66" s="1">
        <f>M65/2</f>
        <v>0.5</v>
      </c>
      <c r="N66" s="1" t="s">
        <v>92</v>
      </c>
    </row>
    <row r="67" ht="25.5" customHeight="1">
      <c r="B67" s="1" t="s">
        <v>325</v>
      </c>
      <c r="C67" s="1" t="s">
        <v>53</v>
      </c>
      <c r="D67" s="1">
        <f>'LL-ABSTRACT'!H4</f>
        <v>12.212665868263475</v>
      </c>
      <c r="E67" s="1" t="s">
        <v>326</v>
      </c>
    </row>
    <row r="68">
      <c r="E68" s="1" t="s">
        <v>327</v>
      </c>
      <c r="F68" s="1">
        <f>D67*10</f>
        <v>122.12665868263474</v>
      </c>
      <c r="G68" s="1" t="s">
        <v>323</v>
      </c>
      <c r="M68" s="1">
        <f>'abstract of stresses'!D9</f>
        <v>138.66109635051396</v>
      </c>
      <c r="N68" s="1" t="s">
        <v>328</v>
      </c>
    </row>
    <row r="69">
      <c r="M69" s="1">
        <f>'abstract of stresses'!F9</f>
        <v>59.565540394928775</v>
      </c>
    </row>
    <row r="70">
      <c r="B70" s="1" t="s">
        <v>329</v>
      </c>
    </row>
    <row r="71" ht="45.75" customHeight="1">
      <c r="B71" s="1" t="s">
        <v>330</v>
      </c>
      <c r="C71" s="1" t="s">
        <v>53</v>
      </c>
      <c r="D71" s="1">
        <f>F73</f>
        <v>1123.9405976047906</v>
      </c>
      <c r="E71" s="1" t="s">
        <v>91</v>
      </c>
      <c r="F71" s="1">
        <v>2</v>
      </c>
      <c r="G71" s="1" t="s">
        <v>53</v>
      </c>
      <c r="H71" s="1">
        <f>D71*F71</f>
        <v>2247.881195209581</v>
      </c>
      <c r="J71" s="1" t="s">
        <v>323</v>
      </c>
    </row>
    <row r="72" ht="25.5" customHeight="1">
      <c r="B72" s="1" t="s">
        <v>325</v>
      </c>
      <c r="C72" s="1" t="s">
        <v>53</v>
      </c>
      <c r="D72" s="1">
        <f>'LL-ABSTRACT'!H6</f>
        <v>112.39405976047905</v>
      </c>
      <c r="E72" s="1" t="s">
        <v>326</v>
      </c>
    </row>
    <row r="73">
      <c r="E73" s="1" t="s">
        <v>327</v>
      </c>
      <c r="F73" s="1">
        <f>D72*10</f>
        <v>1123.9405976047906</v>
      </c>
      <c r="G73" s="1" t="s">
        <v>323</v>
      </c>
    </row>
    <row r="74"/>
    <row r="75">
      <c r="A75" s="4" t="s">
        <v>331</v>
      </c>
      <c r="B75" s="1" t="s">
        <v>332</v>
      </c>
    </row>
    <row r="76">
      <c r="B76" s="1" t="s">
        <v>333</v>
      </c>
    </row>
    <row r="77">
      <c r="B77" s="1" t="s">
        <v>214</v>
      </c>
      <c r="D77" s="1" t="s">
        <v>215</v>
      </c>
      <c r="E77" s="1">
        <f>E15</f>
        <v>1.8354679471127884</v>
      </c>
      <c r="F77" s="1" t="s">
        <f>F15</f>
        <v>153</v>
      </c>
    </row>
    <row r="78" ht="36.75" customHeight="1">
      <c r="B78" s="1" t="s">
        <v>334</v>
      </c>
    </row>
    <row r="79" ht="51" customHeight="1">
      <c r="B79" s="1" t="s">
        <v>335</v>
      </c>
      <c r="C79" s="1" t="s">
        <v>53</v>
      </c>
      <c r="D79" s="1">
        <f>E77</f>
        <v>1.8354679471127884</v>
      </c>
      <c r="E79" s="1" t="s">
        <v>91</v>
      </c>
      <c r="F79" s="1" t="s">
        <v>336</v>
      </c>
      <c r="H79" s="1" t="s">
        <v>337</v>
      </c>
      <c r="K79" s="1" t="s">
        <v>53</v>
      </c>
      <c r="M79" s="1" t="s">
        <v>91</v>
      </c>
      <c r="N79" s="1" t="s">
        <v>338</v>
      </c>
    </row>
    <row r="80">
      <c r="C80" s="1" t="s">
        <v>53</v>
      </c>
      <c r="D80" s="1">
        <f>D79*SIN(20*3.14/180)</f>
        <v>0.6274617816037061</v>
      </c>
      <c r="K80" s="1" t="s">
        <v>53</v>
      </c>
    </row>
    <row r="81" ht="15" customHeight="1">
      <c r="B81" s="1" t="s">
        <v>220</v>
      </c>
      <c r="C81" s="1" t="s">
        <v>53</v>
      </c>
      <c r="D81" s="1">
        <f>D80^2*2</f>
        <v>0.787416574746594</v>
      </c>
      <c r="J81" s="1" t="s">
        <v>220</v>
      </c>
      <c r="K81" s="1" t="s">
        <v>53</v>
      </c>
    </row>
    <row r="82">
      <c r="B82" s="1" t="s">
        <v>339</v>
      </c>
      <c r="C82" s="1" t="s">
        <v>53</v>
      </c>
      <c r="D82" s="1">
        <f>E8-E18</f>
        <v>7.13000000000001</v>
      </c>
      <c r="E82" s="1" t="s">
        <v>92</v>
      </c>
      <c r="F82" s="1">
        <f>D81</f>
        <v>0.787416574746594</v>
      </c>
      <c r="G82" s="1">
        <f>$F$82*($D$82-0.975)/$D$82</f>
        <v>0.679740395170447</v>
      </c>
      <c r="H82" s="1">
        <f>$F$82*($D$82-1.1)/$D$82</f>
        <v>0.6659357567632487</v>
      </c>
      <c r="J82" s="1">
        <v>0</v>
      </c>
    </row>
    <row r="83">
      <c r="B83" s="1" t="e">
        <f>CONCAT("FORCE ON DECK SLAB BETWEEN Deck Level ",$E$21,"  M to Soffit Level  ",$E$21-'Deck Anchorage'!$H$11-'Deck Anchorage'!$H$12, " M")</f>
        <v>#NAME?</v>
      </c>
    </row>
    <row r="84" ht="14.25" customHeight="1">
      <c r="B84" s="1" t="s">
        <v>220</v>
      </c>
      <c r="C84" s="1" t="s">
        <v>340</v>
      </c>
      <c r="D84" s="1">
        <f>F82</f>
        <v>0.787416574746594</v>
      </c>
      <c r="E84" s="1" t="s">
        <v>148</v>
      </c>
      <c r="F84" s="1">
        <f>G82</f>
        <v>0.679740395170447</v>
      </c>
      <c r="G84" s="1" t="s">
        <v>341</v>
      </c>
      <c r="H84" s="1">
        <f>(D84+F84)/2</f>
        <v>0.7335784849585205</v>
      </c>
      <c r="L84" s="1" t="s">
        <v>342</v>
      </c>
      <c r="M84" s="1" t="s">
        <v>343</v>
      </c>
    </row>
    <row r="85">
      <c r="B85" s="1" t="s">
        <v>224</v>
      </c>
      <c r="C85" s="1" t="s">
        <v>53</v>
      </c>
      <c r="D85" s="1">
        <f>'afflux calculation'!C18</f>
        <v>12</v>
      </c>
      <c r="E85" s="1" t="s">
        <v>91</v>
      </c>
      <c r="F85" s="1">
        <v>0</v>
      </c>
      <c r="G85" s="1" t="s">
        <v>53</v>
      </c>
      <c r="H85" s="1">
        <f>D85*F85</f>
        <v>0</v>
      </c>
      <c r="I85" s="1" t="s">
        <v>202</v>
      </c>
    </row>
    <row r="86"/>
    <row r="87" ht="14.25" customHeight="1">
      <c r="B87" s="1" t="s">
        <v>344</v>
      </c>
      <c r="C87" s="1" t="s">
        <v>53</v>
      </c>
      <c r="D87" s="1">
        <v>52</v>
      </c>
      <c r="E87" s="1" t="s">
        <v>91</v>
      </c>
      <c r="F87" s="1" t="s">
        <v>226</v>
      </c>
      <c r="G87" s="1" t="s">
        <v>91</v>
      </c>
      <c r="H87" s="1" t="s">
        <v>227</v>
      </c>
      <c r="I87" s="1" t="s">
        <v>91</v>
      </c>
      <c r="J87" s="1" t="s">
        <v>224</v>
      </c>
    </row>
    <row r="88">
      <c r="C88" s="1" t="s">
        <v>53</v>
      </c>
      <c r="D88" s="1">
        <f>D87</f>
        <v>52</v>
      </c>
      <c r="E88" s="1" t="s">
        <v>91</v>
      </c>
      <c r="F88" s="1">
        <v>1.5</v>
      </c>
      <c r="G88" s="1" t="s">
        <v>91</v>
      </c>
      <c r="H88" s="1">
        <f>H84</f>
        <v>0.7335784849585205</v>
      </c>
      <c r="I88" s="1" t="s">
        <v>91</v>
      </c>
      <c r="J88" s="1">
        <f>H85</f>
        <v>0</v>
      </c>
      <c r="K88" s="1" t="s">
        <v>228</v>
      </c>
      <c r="L88" s="1" t="s">
        <v>53</v>
      </c>
      <c r="M88" s="1">
        <f>D88*F88*H88*J88/100</f>
        <v>0</v>
      </c>
      <c r="N88" s="1" t="s">
        <v>204</v>
      </c>
      <c r="O88" s="1" t="s">
        <v>345</v>
      </c>
      <c r="P88" s="2">
        <f>$E$21-('Deck Anchorage'!$H$11+'Deck Anchorage'!$H$12)/2</f>
        <v>101.1875</v>
      </c>
      <c r="Q88" s="1" t="s">
        <v>92</v>
      </c>
    </row>
    <row r="89">
      <c r="B89" s="1" t="s">
        <v>346</v>
      </c>
      <c r="D89" s="1">
        <f>D90+0.6</f>
        <v>93.56999999999998</v>
      </c>
      <c r="E89" s="1" t="s">
        <v>347</v>
      </c>
      <c r="F89" s="1">
        <f>$M$88</f>
        <v>0</v>
      </c>
      <c r="G89" s="1" t="s">
        <v>91</v>
      </c>
      <c r="H89" s="1">
        <f>$P$88-D89</f>
        <v>7.617500000000021</v>
      </c>
      <c r="I89" s="1" t="s">
        <v>53</v>
      </c>
      <c r="J89" s="1">
        <f>F89*H89</f>
        <v>0</v>
      </c>
      <c r="K89" s="1" t="s">
        <v>323</v>
      </c>
      <c r="N89" s="1" t="s">
        <v>348</v>
      </c>
    </row>
    <row r="90">
      <c r="B90" s="1" t="s">
        <v>346</v>
      </c>
      <c r="D90" s="1">
        <f>D91+1</f>
        <v>92.96999999999998</v>
      </c>
      <c r="E90" s="1" t="s">
        <v>347</v>
      </c>
      <c r="F90" s="1">
        <f>$M$88</f>
        <v>0</v>
      </c>
      <c r="G90" s="1" t="s">
        <v>91</v>
      </c>
      <c r="H90" s="1">
        <f>$P$88-D90</f>
        <v>8.217500000000015</v>
      </c>
      <c r="I90" s="1" t="s">
        <v>53</v>
      </c>
      <c r="J90" s="1">
        <f>F90*H90</f>
        <v>0</v>
      </c>
      <c r="K90" s="1" t="s">
        <v>323</v>
      </c>
    </row>
    <row r="91">
      <c r="B91" s="1" t="s">
        <v>346</v>
      </c>
      <c r="D91" s="1">
        <f>$E$20</f>
        <v>91.96999999999998</v>
      </c>
      <c r="E91" s="1" t="s">
        <v>347</v>
      </c>
      <c r="F91" s="1">
        <f>$M$88</f>
        <v>0</v>
      </c>
      <c r="G91" s="1" t="s">
        <v>91</v>
      </c>
      <c r="H91" s="1">
        <f>$P$88-D91</f>
        <v>9.217500000000015</v>
      </c>
      <c r="I91" s="1" t="s">
        <v>53</v>
      </c>
      <c r="J91" s="1">
        <f>F91*H91</f>
        <v>0</v>
      </c>
      <c r="K91" s="1" t="s">
        <v>323</v>
      </c>
    </row>
    <row r="92">
      <c r="B92" s="1" t="e">
        <f>CONCAT("FORCE ON PIER CAP BETWEEN  ",$E$21-'Deck Anchorage'!$H$11-'Deck Anchorage'!$H$12,"  M to Soffit Level  ",$E$21-'Deck Anchorage'!$H$11-'Deck Anchorage'!$H$12-$F$94, " M")</f>
        <v>#NAME?</v>
      </c>
    </row>
    <row r="93" ht="14.25" customHeight="1">
      <c r="B93" s="1" t="s">
        <v>220</v>
      </c>
      <c r="C93" s="1" t="s">
        <v>340</v>
      </c>
      <c r="D93" s="1">
        <f>G82</f>
        <v>0.679740395170447</v>
      </c>
      <c r="E93" s="1" t="s">
        <v>148</v>
      </c>
      <c r="F93" s="1">
        <f>H82</f>
        <v>0.6659357567632487</v>
      </c>
      <c r="G93" s="1" t="s">
        <v>341</v>
      </c>
      <c r="H93" s="1">
        <f>(D93+F93)/2</f>
        <v>0.6728380759668479</v>
      </c>
      <c r="L93" s="1" t="s">
        <v>343</v>
      </c>
      <c r="M93" s="1" t="s">
        <v>349</v>
      </c>
    </row>
    <row r="94">
      <c r="B94" s="1" t="s">
        <v>224</v>
      </c>
      <c r="C94" s="1" t="s">
        <v>53</v>
      </c>
      <c r="D94" s="1">
        <f>D85</f>
        <v>12</v>
      </c>
      <c r="E94" s="1" t="s">
        <v>91</v>
      </c>
      <c r="F94" s="1">
        <v>0.6</v>
      </c>
      <c r="G94" s="1" t="s">
        <v>53</v>
      </c>
      <c r="H94" s="1">
        <f>D94*F94</f>
        <v>7.199999999999999</v>
      </c>
      <c r="I94" s="1" t="s">
        <v>202</v>
      </c>
    </row>
    <row r="95"/>
    <row r="96" ht="14.25" customHeight="1">
      <c r="B96" s="1" t="s">
        <v>344</v>
      </c>
      <c r="C96" s="1" t="s">
        <v>53</v>
      </c>
      <c r="D96" s="1">
        <v>52</v>
      </c>
      <c r="E96" s="1" t="s">
        <v>91</v>
      </c>
      <c r="F96" s="1" t="s">
        <v>226</v>
      </c>
      <c r="G96" s="1" t="s">
        <v>91</v>
      </c>
      <c r="H96" s="1" t="s">
        <v>227</v>
      </c>
      <c r="I96" s="1" t="s">
        <v>91</v>
      </c>
      <c r="J96" s="1" t="s">
        <v>224</v>
      </c>
    </row>
    <row r="97">
      <c r="C97" s="1" t="s">
        <v>53</v>
      </c>
      <c r="D97" s="1">
        <f>D96</f>
        <v>52</v>
      </c>
      <c r="E97" s="1" t="s">
        <v>91</v>
      </c>
      <c r="F97" s="1">
        <v>1.5</v>
      </c>
      <c r="G97" s="1" t="s">
        <v>91</v>
      </c>
      <c r="H97" s="1">
        <f>H93</f>
        <v>0.6728380759668479</v>
      </c>
      <c r="I97" s="1" t="s">
        <v>91</v>
      </c>
      <c r="J97" s="1">
        <f>H94</f>
        <v>7.199999999999999</v>
      </c>
      <c r="K97" s="1" t="s">
        <v>228</v>
      </c>
      <c r="L97" s="1" t="s">
        <v>53</v>
      </c>
      <c r="M97" s="1">
        <f>D97*F97*H97*J97/100</f>
        <v>3.778658634629817</v>
      </c>
      <c r="N97" s="1" t="s">
        <v>204</v>
      </c>
      <c r="O97" s="1" t="s">
        <v>345</v>
      </c>
      <c r="P97" s="2">
        <f>$E$21-'Deck Anchorage'!$H$11-'Deck Anchorage'!$H$12-$F$94/2</f>
        <v>100.475</v>
      </c>
      <c r="Q97" s="1" t="s">
        <v>92</v>
      </c>
    </row>
    <row r="98">
      <c r="B98" s="1" t="s">
        <v>346</v>
      </c>
      <c r="D98" s="1">
        <f>D99+0.6</f>
        <v>93.56999999999998</v>
      </c>
      <c r="E98" s="1" t="s">
        <v>347</v>
      </c>
      <c r="F98" s="1">
        <f>$M$97</f>
        <v>3.778658634629817</v>
      </c>
      <c r="G98" s="1" t="s">
        <v>91</v>
      </c>
      <c r="H98" s="1">
        <f>$P$97-D98</f>
        <v>6.905000000000015</v>
      </c>
      <c r="I98" s="1" t="s">
        <v>53</v>
      </c>
      <c r="J98" s="1">
        <f>F98*H98</f>
        <v>26.091637872118945</v>
      </c>
      <c r="K98" s="1" t="s">
        <v>323</v>
      </c>
      <c r="N98" s="1" t="s">
        <v>350</v>
      </c>
    </row>
    <row r="99">
      <c r="B99" s="1" t="s">
        <v>346</v>
      </c>
      <c r="D99" s="1">
        <f>D100+1</f>
        <v>92.96999999999998</v>
      </c>
      <c r="E99" s="1" t="s">
        <v>347</v>
      </c>
      <c r="F99" s="1">
        <f>$M$97</f>
        <v>3.778658634629817</v>
      </c>
      <c r="G99" s="1" t="s">
        <v>91</v>
      </c>
      <c r="H99" s="1">
        <f>$P$97-D99</f>
        <v>7.50500000000001</v>
      </c>
      <c r="I99" s="1" t="s">
        <v>53</v>
      </c>
      <c r="J99" s="1">
        <f>F99*H99</f>
        <v>28.358833052896816</v>
      </c>
      <c r="K99" s="1" t="s">
        <v>323</v>
      </c>
    </row>
    <row r="100">
      <c r="B100" s="1" t="s">
        <v>346</v>
      </c>
      <c r="D100" s="1">
        <f>$E$20</f>
        <v>91.96999999999998</v>
      </c>
      <c r="E100" s="1" t="s">
        <v>347</v>
      </c>
      <c r="F100" s="1">
        <f>$M$97</f>
        <v>3.778658634629817</v>
      </c>
      <c r="G100" s="1" t="s">
        <v>91</v>
      </c>
      <c r="H100" s="1">
        <f>$P$97-D100</f>
        <v>8.50500000000001</v>
      </c>
      <c r="I100" s="1" t="s">
        <v>53</v>
      </c>
      <c r="J100" s="1">
        <f>F100*H100</f>
        <v>32.137491687526634</v>
      </c>
      <c r="K100" s="1" t="s">
        <v>323</v>
      </c>
    </row>
    <row r="101">
      <c r="B101" s="1" t="e">
        <f>CONCAT("FORCE ON PIER BETWEEN  ",$E$21-'Deck Anchorage'!$H$11-'Deck Anchorage'!$H$12-$F$94,"  M to   ",$E$20+$E$19, " M")</f>
        <v>#NAME?</v>
      </c>
    </row>
    <row r="102" ht="14.25" customHeight="1">
      <c r="B102" s="1" t="s">
        <v>220</v>
      </c>
      <c r="C102" s="1" t="s">
        <v>340</v>
      </c>
      <c r="D102" s="1">
        <f>H82</f>
        <v>0.6659357567632487</v>
      </c>
      <c r="E102" s="1" t="s">
        <v>148</v>
      </c>
      <c r="F102" s="1">
        <v>0</v>
      </c>
      <c r="G102" s="1" t="s">
        <v>341</v>
      </c>
      <c r="H102" s="1">
        <f>(D102+F102)/2</f>
        <v>0.33296787838162434</v>
      </c>
      <c r="L102" s="1" t="s">
        <v>349</v>
      </c>
      <c r="M102" s="1" t="s">
        <v>351</v>
      </c>
    </row>
    <row r="103">
      <c r="B103" s="1" t="s">
        <v>224</v>
      </c>
      <c r="C103" s="1" t="s">
        <v>53</v>
      </c>
      <c r="D103" s="1">
        <f>98.925-91.59</f>
        <v>7.334999999999994</v>
      </c>
      <c r="E103" s="1" t="s">
        <v>91</v>
      </c>
      <c r="F103" s="1">
        <f>F41+1.2</f>
        <v>8.7</v>
      </c>
      <c r="G103" s="1" t="s">
        <v>53</v>
      </c>
      <c r="H103" s="1">
        <f>D103*F103</f>
        <v>63.81449999999994</v>
      </c>
      <c r="I103" s="1" t="s">
        <v>202</v>
      </c>
    </row>
    <row r="104"/>
    <row r="105" ht="14.25" customHeight="1">
      <c r="B105" s="1" t="s">
        <v>344</v>
      </c>
      <c r="C105" s="1" t="s">
        <v>53</v>
      </c>
      <c r="D105" s="1">
        <v>52</v>
      </c>
      <c r="E105" s="1" t="s">
        <v>91</v>
      </c>
      <c r="F105" s="1" t="s">
        <v>226</v>
      </c>
      <c r="G105" s="1" t="s">
        <v>91</v>
      </c>
      <c r="H105" s="1" t="s">
        <v>227</v>
      </c>
      <c r="I105" s="1" t="s">
        <v>91</v>
      </c>
      <c r="J105" s="1" t="s">
        <v>224</v>
      </c>
    </row>
    <row r="106">
      <c r="C106" s="1" t="s">
        <v>53</v>
      </c>
      <c r="D106" s="1">
        <f>D105</f>
        <v>52</v>
      </c>
      <c r="E106" s="1" t="s">
        <v>91</v>
      </c>
      <c r="F106" s="1">
        <v>1.5</v>
      </c>
      <c r="G106" s="1" t="s">
        <v>91</v>
      </c>
      <c r="H106" s="1">
        <f>H102</f>
        <v>0.33296787838162434</v>
      </c>
      <c r="I106" s="1" t="s">
        <v>91</v>
      </c>
      <c r="J106" s="1">
        <f>H103</f>
        <v>63.81449999999994</v>
      </c>
      <c r="K106" s="1" t="s">
        <v>228</v>
      </c>
      <c r="L106" s="1" t="s">
        <v>53</v>
      </c>
      <c r="M106" s="1">
        <f>D106*F106*H106*J106/100</f>
        <v>16.573579366487635</v>
      </c>
      <c r="N106" s="1" t="s">
        <v>204</v>
      </c>
      <c r="O106" s="1" t="s">
        <v>345</v>
      </c>
      <c r="P106" s="2">
        <f>(($E$21-'Deck Anchorage'!$H$11-'Deck Anchorage'!$H$12-$F$94)+($E$20+$E$19))/2</f>
        <v>96.82249999999999</v>
      </c>
      <c r="Q106" s="1" t="s">
        <v>92</v>
      </c>
    </row>
    <row r="107">
      <c r="B107" s="1" t="s">
        <v>346</v>
      </c>
      <c r="D107" s="1">
        <f>D108+0.6</f>
        <v>93.56999999999998</v>
      </c>
      <c r="E107" s="1" t="s">
        <v>347</v>
      </c>
      <c r="F107" s="1">
        <f>$M$106</f>
        <v>16.573579366487635</v>
      </c>
      <c r="G107" s="1" t="s">
        <v>91</v>
      </c>
      <c r="H107" s="1">
        <f>$P$106-D107</f>
        <v>3.252500000000012</v>
      </c>
      <c r="I107" s="1" t="s">
        <v>53</v>
      </c>
      <c r="J107" s="1">
        <f>F107*H107</f>
        <v>53.90556688950123</v>
      </c>
      <c r="K107" s="1" t="s">
        <v>323</v>
      </c>
      <c r="N107" s="1" t="s">
        <v>352</v>
      </c>
    </row>
    <row r="108">
      <c r="B108" s="1" t="s">
        <v>346</v>
      </c>
      <c r="D108" s="1">
        <f>D109+J52</f>
        <v>92.96999999999998</v>
      </c>
      <c r="E108" s="1" t="s">
        <v>347</v>
      </c>
      <c r="F108" s="1">
        <f>$M$106</f>
        <v>16.573579366487635</v>
      </c>
      <c r="G108" s="1" t="s">
        <v>91</v>
      </c>
      <c r="H108" s="1">
        <f>$P$106-D108</f>
        <v>3.8525000000000063</v>
      </c>
      <c r="I108" s="1" t="s">
        <v>53</v>
      </c>
      <c r="J108" s="1">
        <f>F108*H108</f>
        <v>63.84971450939372</v>
      </c>
      <c r="K108" s="1" t="s">
        <v>323</v>
      </c>
    </row>
    <row r="109">
      <c r="B109" s="1" t="s">
        <v>346</v>
      </c>
      <c r="D109" s="1">
        <f>$E$20</f>
        <v>91.96999999999998</v>
      </c>
      <c r="E109" s="1" t="s">
        <v>347</v>
      </c>
      <c r="F109" s="1">
        <f>$M$106</f>
        <v>16.573579366487635</v>
      </c>
      <c r="G109" s="1" t="s">
        <v>91</v>
      </c>
      <c r="H109" s="1">
        <f>$P$106-D109</f>
        <v>4.852500000000006</v>
      </c>
      <c r="I109" s="1" t="s">
        <v>53</v>
      </c>
      <c r="J109" s="1">
        <f>F109*H109</f>
        <v>80.42329387588136</v>
      </c>
      <c r="K109" s="1" t="s">
        <v>323</v>
      </c>
    </row>
    <row r="110"/>
    <row r="111">
      <c r="B111" s="1" t="s">
        <v>353</v>
      </c>
    </row>
    <row r="112">
      <c r="B112" s="1" t="s">
        <v>346</v>
      </c>
      <c r="D112" s="1">
        <f>D107</f>
        <v>93.56999999999998</v>
      </c>
      <c r="E112" s="1" t="s">
        <v>347</v>
      </c>
      <c r="F112" s="1">
        <f>J89</f>
        <v>0</v>
      </c>
      <c r="G112" s="1" t="s">
        <v>148</v>
      </c>
      <c r="H112" s="1">
        <f>J98</f>
        <v>26.091637872118945</v>
      </c>
    </row>
    <row r="113">
      <c r="G113" s="1" t="s">
        <v>148</v>
      </c>
      <c r="H113" s="1">
        <f>J107</f>
        <v>53.90556688950123</v>
      </c>
      <c r="I113" s="1" t="s">
        <v>53</v>
      </c>
      <c r="J113" s="1">
        <f>F112+H112+H113</f>
        <v>79.99720476162017</v>
      </c>
      <c r="K113" s="1" t="s">
        <v>323</v>
      </c>
    </row>
    <row r="114">
      <c r="B114" s="1" t="s">
        <v>346</v>
      </c>
      <c r="D114" s="1">
        <f>D108</f>
        <v>92.96999999999998</v>
      </c>
      <c r="E114" s="1" t="s">
        <v>347</v>
      </c>
      <c r="F114" s="1">
        <f>J90</f>
        <v>0</v>
      </c>
      <c r="G114" s="1" t="s">
        <v>148</v>
      </c>
      <c r="H114" s="1">
        <f>J99</f>
        <v>28.358833052896816</v>
      </c>
    </row>
    <row r="115">
      <c r="G115" s="1" t="s">
        <v>148</v>
      </c>
      <c r="H115" s="1">
        <f>J108</f>
        <v>63.84971450939372</v>
      </c>
      <c r="I115" s="1" t="s">
        <v>53</v>
      </c>
      <c r="J115" s="1">
        <f>F114+H114+H115</f>
        <v>92.20854756229053</v>
      </c>
      <c r="K115" s="1" t="s">
        <v>323</v>
      </c>
    </row>
    <row r="116">
      <c r="B116" s="1" t="s">
        <v>346</v>
      </c>
      <c r="D116" s="1">
        <f>$E$20</f>
        <v>91.96999999999998</v>
      </c>
      <c r="E116" s="1" t="s">
        <v>347</v>
      </c>
      <c r="F116" s="1">
        <f>J91</f>
        <v>0</v>
      </c>
      <c r="G116" s="1" t="s">
        <v>148</v>
      </c>
      <c r="H116" s="1">
        <f>J100</f>
        <v>32.137491687526634</v>
      </c>
    </row>
    <row r="117">
      <c r="G117" s="1" t="s">
        <v>148</v>
      </c>
      <c r="H117" s="1">
        <f>J109</f>
        <v>80.42329387588136</v>
      </c>
      <c r="I117" s="1" t="s">
        <v>53</v>
      </c>
      <c r="J117" s="1">
        <f>F116+H116+H117</f>
        <v>112.56078556340799</v>
      </c>
      <c r="K117" s="1" t="s">
        <v>323</v>
      </c>
    </row>
    <row r="118">
      <c r="B118" s="1" t="s">
        <v>213</v>
      </c>
    </row>
    <row r="119">
      <c r="B119" s="1" t="s">
        <v>214</v>
      </c>
      <c r="D119" s="1" t="s">
        <v>215</v>
      </c>
      <c r="E119" s="1">
        <f>E77</f>
        <v>1.8354679471127884</v>
      </c>
      <c r="F119" s="1" t="s">
        <f>F77</f>
        <v>153</v>
      </c>
      <c r="G119" s="1" t="s">
        <v>216</v>
      </c>
      <c r="M119" s="1" t="s">
        <v>217</v>
      </c>
    </row>
    <row r="120">
      <c r="B120" s="1" t="s">
        <v>218</v>
      </c>
      <c r="C120" s="1" t="s">
        <v>53</v>
      </c>
      <c r="D120" s="1">
        <f>E119</f>
        <v>1.8354679471127884</v>
      </c>
      <c r="E120" s="1" t="s">
        <v>91</v>
      </c>
      <c r="F120" s="1" t="s">
        <v>219</v>
      </c>
    </row>
    <row r="121">
      <c r="C121" s="1" t="s">
        <v>53</v>
      </c>
      <c r="D121" s="1">
        <f>D120*COS(20*3.14/180)</f>
        <v>1.7248867491824316</v>
      </c>
    </row>
    <row r="122">
      <c r="B122" s="1" t="s">
        <v>220</v>
      </c>
      <c r="C122" s="1" t="s">
        <v>53</v>
      </c>
      <c r="D122" s="1">
        <f>D121^2*2</f>
        <v>5.950468595010273</v>
      </c>
    </row>
    <row r="123">
      <c r="B123" s="1" t="s">
        <v>197</v>
      </c>
      <c r="C123" s="1" t="s">
        <v>53</v>
      </c>
      <c r="D123" s="1">
        <f>D82</f>
        <v>7.13000000000001</v>
      </c>
      <c r="E123" s="1" t="s">
        <v>92</v>
      </c>
      <c r="F123" s="1">
        <f>D122</f>
        <v>5.950468595010273</v>
      </c>
      <c r="G123" s="1">
        <f>$F$123*($D$123-0.975)/$D$123</f>
        <v>5.136764965257817</v>
      </c>
      <c r="H123" s="1">
        <f>$F$123*($D$123-1.1)/$D$123</f>
        <v>5.0324439870844255</v>
      </c>
      <c r="J123" s="1">
        <v>0</v>
      </c>
    </row>
    <row r="124">
      <c r="B124" s="1" t="e">
        <f>B83</f>
        <v>#NAME?</v>
      </c>
    </row>
    <row r="125" ht="14.25" customHeight="1">
      <c r="B125" s="1" t="s">
        <v>220</v>
      </c>
      <c r="C125" s="1" t="s">
        <v>340</v>
      </c>
      <c r="D125" s="1">
        <f>F123</f>
        <v>5.950468595010273</v>
      </c>
      <c r="E125" s="1" t="s">
        <v>148</v>
      </c>
      <c r="F125" s="1">
        <f>G123</f>
        <v>5.136764965257817</v>
      </c>
      <c r="G125" s="1" t="s">
        <v>341</v>
      </c>
      <c r="H125" s="1">
        <f>(D125+F125)/2</f>
        <v>5.543616780134045</v>
      </c>
    </row>
    <row r="126">
      <c r="B126" s="1" t="s">
        <v>224</v>
      </c>
      <c r="C126" s="1" t="s">
        <v>53</v>
      </c>
      <c r="D126" s="1">
        <f>D28</f>
        <v>8.799999999999999</v>
      </c>
      <c r="E126" s="1" t="s">
        <v>91</v>
      </c>
      <c r="F126" s="2">
        <v>0</v>
      </c>
      <c r="G126" s="1" t="s">
        <v>53</v>
      </c>
      <c r="H126" s="1">
        <f>D126*F126</f>
        <v>0</v>
      </c>
      <c r="I126" s="1" t="s">
        <v>202</v>
      </c>
    </row>
    <row r="127"/>
    <row r="128" ht="14.25" customHeight="1">
      <c r="B128" s="1" t="s">
        <v>354</v>
      </c>
      <c r="C128" s="1" t="s">
        <v>53</v>
      </c>
      <c r="D128" s="1">
        <v>52</v>
      </c>
      <c r="E128" s="1" t="s">
        <v>91</v>
      </c>
      <c r="F128" s="1" t="s">
        <v>226</v>
      </c>
      <c r="G128" s="1" t="s">
        <v>91</v>
      </c>
      <c r="H128" s="1" t="s">
        <v>227</v>
      </c>
      <c r="I128" s="1" t="s">
        <v>91</v>
      </c>
      <c r="J128" s="1" t="s">
        <v>224</v>
      </c>
    </row>
    <row r="129">
      <c r="C129" s="1" t="s">
        <v>53</v>
      </c>
      <c r="D129" s="1">
        <f>D128</f>
        <v>52</v>
      </c>
      <c r="E129" s="1" t="s">
        <v>91</v>
      </c>
      <c r="F129" s="1">
        <v>1.5</v>
      </c>
      <c r="G129" s="1" t="s">
        <v>91</v>
      </c>
      <c r="H129" s="1">
        <f>H125</f>
        <v>5.543616780134045</v>
      </c>
      <c r="I129" s="1" t="s">
        <v>91</v>
      </c>
      <c r="J129" s="1">
        <f>H126</f>
        <v>0</v>
      </c>
      <c r="K129" s="1" t="s">
        <v>228</v>
      </c>
      <c r="L129" s="1" t="s">
        <v>53</v>
      </c>
      <c r="M129" s="1">
        <f>D129*F129*H129*J129/100</f>
        <v>0</v>
      </c>
      <c r="N129" s="1" t="s">
        <v>204</v>
      </c>
      <c r="O129" s="1" t="s">
        <v>345</v>
      </c>
      <c r="P129" s="2">
        <f>P88</f>
        <v>101.1875</v>
      </c>
      <c r="Q129" s="1" t="s">
        <v>92</v>
      </c>
    </row>
    <row r="130">
      <c r="B130" s="1" t="s">
        <v>346</v>
      </c>
      <c r="D130" s="1">
        <f>D131+0.6</f>
        <v>93.56999999999998</v>
      </c>
      <c r="E130" s="1" t="s">
        <v>347</v>
      </c>
      <c r="F130" s="1">
        <f>$M$88</f>
        <v>0</v>
      </c>
      <c r="G130" s="1" t="s">
        <v>91</v>
      </c>
      <c r="H130" s="1">
        <f>$P$129-D130</f>
        <v>7.617500000000021</v>
      </c>
      <c r="I130" s="1" t="s">
        <v>53</v>
      </c>
      <c r="J130" s="1">
        <f>F130*H130</f>
        <v>0</v>
      </c>
      <c r="K130" s="1" t="s">
        <v>323</v>
      </c>
    </row>
    <row r="131">
      <c r="B131" s="1" t="s">
        <v>346</v>
      </c>
      <c r="D131" s="1">
        <f>D132+1</f>
        <v>92.96999999999998</v>
      </c>
      <c r="E131" s="1" t="s">
        <v>347</v>
      </c>
      <c r="F131" s="1">
        <f>$M$88</f>
        <v>0</v>
      </c>
      <c r="G131" s="1" t="s">
        <v>91</v>
      </c>
      <c r="H131" s="1">
        <f>$P$129-D131</f>
        <v>8.217500000000015</v>
      </c>
      <c r="I131" s="1" t="s">
        <v>53</v>
      </c>
      <c r="J131" s="1">
        <f>F131*H131</f>
        <v>0</v>
      </c>
      <c r="K131" s="1" t="s">
        <v>323</v>
      </c>
    </row>
    <row r="132">
      <c r="B132" s="1" t="s">
        <v>346</v>
      </c>
      <c r="D132" s="1">
        <f>$E$20</f>
        <v>91.96999999999998</v>
      </c>
      <c r="E132" s="1" t="s">
        <v>347</v>
      </c>
      <c r="F132" s="1">
        <f>$M$88</f>
        <v>0</v>
      </c>
      <c r="G132" s="1" t="s">
        <v>91</v>
      </c>
      <c r="H132" s="1">
        <f>$P$129-D132</f>
        <v>9.217500000000015</v>
      </c>
      <c r="I132" s="1" t="s">
        <v>53</v>
      </c>
      <c r="J132" s="1">
        <f>F132*H132</f>
        <v>0</v>
      </c>
      <c r="K132" s="1" t="s">
        <v>323</v>
      </c>
    </row>
    <row r="133">
      <c r="B133" s="1" t="e">
        <f>B92</f>
        <v>#NAME?</v>
      </c>
    </row>
    <row r="134" ht="14.25" customHeight="1">
      <c r="B134" s="1" t="s">
        <v>220</v>
      </c>
      <c r="C134" s="1" t="s">
        <v>340</v>
      </c>
      <c r="D134" s="1">
        <f>G123</f>
        <v>5.136764965257817</v>
      </c>
      <c r="E134" s="1" t="s">
        <v>148</v>
      </c>
      <c r="F134" s="1">
        <f>H123</f>
        <v>5.0324439870844255</v>
      </c>
      <c r="G134" s="1" t="s">
        <v>341</v>
      </c>
      <c r="H134" s="1">
        <f>(D134+F134)/2</f>
        <v>5.084604476171121</v>
      </c>
    </row>
    <row r="135">
      <c r="B135" s="1" t="s">
        <v>224</v>
      </c>
      <c r="C135" s="1" t="s">
        <v>53</v>
      </c>
      <c r="D135" s="1">
        <v>1.5</v>
      </c>
      <c r="E135" s="1" t="s">
        <v>91</v>
      </c>
      <c r="F135" s="1">
        <v>0.6</v>
      </c>
      <c r="G135" s="1" t="s">
        <v>53</v>
      </c>
      <c r="H135" s="1">
        <f>D135*F135</f>
        <v>0.8999999999999999</v>
      </c>
      <c r="I135" s="1" t="s">
        <v>202</v>
      </c>
    </row>
    <row r="136"/>
    <row r="137" ht="14.25" customHeight="1">
      <c r="B137" s="1" t="s">
        <v>344</v>
      </c>
      <c r="C137" s="1" t="s">
        <v>53</v>
      </c>
      <c r="D137" s="1">
        <v>52</v>
      </c>
      <c r="E137" s="1" t="s">
        <v>91</v>
      </c>
      <c r="F137" s="1" t="s">
        <v>226</v>
      </c>
      <c r="G137" s="1" t="s">
        <v>91</v>
      </c>
      <c r="H137" s="1" t="s">
        <v>227</v>
      </c>
      <c r="I137" s="1" t="s">
        <v>91</v>
      </c>
      <c r="J137" s="1" t="s">
        <v>224</v>
      </c>
    </row>
    <row r="138">
      <c r="C138" s="1" t="s">
        <v>53</v>
      </c>
      <c r="D138" s="1">
        <f>D137</f>
        <v>52</v>
      </c>
      <c r="E138" s="1" t="s">
        <v>91</v>
      </c>
      <c r="F138" s="1">
        <v>1.5</v>
      </c>
      <c r="G138" s="1" t="s">
        <v>91</v>
      </c>
      <c r="H138" s="1">
        <f>H134</f>
        <v>5.084604476171121</v>
      </c>
      <c r="I138" s="1" t="s">
        <v>91</v>
      </c>
      <c r="J138" s="1">
        <f>H135</f>
        <v>0.8999999999999999</v>
      </c>
      <c r="K138" s="1" t="s">
        <v>228</v>
      </c>
      <c r="L138" s="1" t="s">
        <v>53</v>
      </c>
      <c r="M138" s="1">
        <f>D138*F138*H138*J138/100</f>
        <v>3.5693923422721263</v>
      </c>
      <c r="N138" s="1" t="s">
        <v>204</v>
      </c>
      <c r="O138" s="1" t="s">
        <v>345</v>
      </c>
      <c r="P138" s="2">
        <f>P97</f>
        <v>100.475</v>
      </c>
      <c r="Q138" s="1" t="s">
        <v>92</v>
      </c>
    </row>
    <row r="139">
      <c r="B139" s="1" t="s">
        <v>346</v>
      </c>
      <c r="D139" s="1">
        <f>D140+0.6</f>
        <v>93.56999999999998</v>
      </c>
      <c r="E139" s="1" t="s">
        <v>347</v>
      </c>
      <c r="F139" s="1">
        <f>$M$97</f>
        <v>3.778658634629817</v>
      </c>
      <c r="G139" s="1" t="s">
        <v>91</v>
      </c>
      <c r="H139" s="1">
        <f>$P$138-D139</f>
        <v>6.905000000000015</v>
      </c>
      <c r="I139" s="1" t="s">
        <v>53</v>
      </c>
      <c r="J139" s="1">
        <f>F139*H139</f>
        <v>26.091637872118945</v>
      </c>
      <c r="K139" s="1" t="s">
        <v>323</v>
      </c>
    </row>
    <row r="140">
      <c r="B140" s="1" t="s">
        <v>346</v>
      </c>
      <c r="D140" s="1">
        <f>D141+1</f>
        <v>92.96999999999998</v>
      </c>
      <c r="E140" s="1" t="s">
        <v>347</v>
      </c>
      <c r="F140" s="1">
        <f>$M$97</f>
        <v>3.778658634629817</v>
      </c>
      <c r="G140" s="1" t="s">
        <v>91</v>
      </c>
      <c r="H140" s="1">
        <f>$P$138-D140</f>
        <v>7.50500000000001</v>
      </c>
      <c r="I140" s="1" t="s">
        <v>53</v>
      </c>
      <c r="J140" s="1">
        <f>F140*H140</f>
        <v>28.358833052896816</v>
      </c>
      <c r="K140" s="1" t="s">
        <v>323</v>
      </c>
    </row>
    <row r="141">
      <c r="B141" s="1" t="s">
        <v>346</v>
      </c>
      <c r="D141" s="1">
        <f>$E$20</f>
        <v>91.96999999999998</v>
      </c>
      <c r="E141" s="1" t="s">
        <v>347</v>
      </c>
      <c r="F141" s="1">
        <f>$M$97</f>
        <v>3.778658634629817</v>
      </c>
      <c r="G141" s="1" t="s">
        <v>91</v>
      </c>
      <c r="H141" s="1">
        <f>$P$138-D141</f>
        <v>8.50500000000001</v>
      </c>
      <c r="I141" s="1" t="s">
        <v>53</v>
      </c>
      <c r="J141" s="1">
        <f>F141*H141</f>
        <v>32.137491687526634</v>
      </c>
      <c r="K141" s="1" t="s">
        <v>323</v>
      </c>
    </row>
    <row r="142">
      <c r="B142" s="1" t="e">
        <f>B101</f>
        <v>#NAME?</v>
      </c>
    </row>
    <row r="143" ht="14.25" customHeight="1">
      <c r="B143" s="1" t="s">
        <v>220</v>
      </c>
      <c r="C143" s="1" t="s">
        <v>340</v>
      </c>
      <c r="D143" s="1">
        <f>H123</f>
        <v>5.0324439870844255</v>
      </c>
      <c r="E143" s="1" t="s">
        <v>148</v>
      </c>
      <c r="F143" s="1">
        <v>0</v>
      </c>
      <c r="G143" s="1" t="s">
        <v>341</v>
      </c>
      <c r="H143" s="1">
        <f>(D143+F143)/2</f>
        <v>2.5162219935422128</v>
      </c>
    </row>
    <row r="144">
      <c r="B144" s="1" t="s">
        <v>224</v>
      </c>
      <c r="C144" s="1" t="s">
        <v>53</v>
      </c>
      <c r="D144" s="1">
        <f>98.925-91.59</f>
        <v>7.334999999999994</v>
      </c>
      <c r="E144" s="1" t="s">
        <v>91</v>
      </c>
      <c r="F144" s="1">
        <f>F83+1.2</f>
        <v>1.2</v>
      </c>
      <c r="G144" s="1" t="s">
        <v>53</v>
      </c>
      <c r="H144" s="1">
        <f>D144*F144</f>
        <v>8.801999999999992</v>
      </c>
      <c r="I144" s="1" t="s">
        <v>202</v>
      </c>
    </row>
    <row r="145"/>
    <row r="146" ht="14.25" customHeight="1">
      <c r="B146" s="1" t="s">
        <v>344</v>
      </c>
      <c r="C146" s="1" t="s">
        <v>53</v>
      </c>
      <c r="D146" s="1">
        <v>52</v>
      </c>
      <c r="E146" s="1" t="s">
        <v>91</v>
      </c>
      <c r="F146" s="1" t="s">
        <v>226</v>
      </c>
      <c r="G146" s="1" t="s">
        <v>91</v>
      </c>
      <c r="H146" s="1" t="s">
        <v>227</v>
      </c>
      <c r="I146" s="1" t="s">
        <v>91</v>
      </c>
      <c r="J146" s="1" t="s">
        <v>224</v>
      </c>
    </row>
    <row r="147">
      <c r="C147" s="1" t="s">
        <v>53</v>
      </c>
      <c r="D147" s="1">
        <f>D146</f>
        <v>52</v>
      </c>
      <c r="E147" s="1" t="s">
        <v>91</v>
      </c>
      <c r="F147" s="1">
        <v>1.5</v>
      </c>
      <c r="G147" s="1" t="s">
        <v>91</v>
      </c>
      <c r="H147" s="1">
        <f>H143</f>
        <v>2.5162219935422128</v>
      </c>
      <c r="I147" s="1" t="s">
        <v>91</v>
      </c>
      <c r="J147" s="1">
        <f>H144</f>
        <v>8.801999999999992</v>
      </c>
      <c r="K147" s="1" t="s">
        <v>228</v>
      </c>
      <c r="L147" s="1" t="s">
        <v>53</v>
      </c>
      <c r="M147" s="1">
        <f>D147*F147*H147*J147/100</f>
        <v>17.27527306998366</v>
      </c>
      <c r="N147" s="1" t="s">
        <v>204</v>
      </c>
      <c r="O147" s="1" t="s">
        <v>345</v>
      </c>
      <c r="P147" s="2">
        <f>P106</f>
        <v>96.82249999999999</v>
      </c>
      <c r="Q147" s="1" t="s">
        <v>92</v>
      </c>
    </row>
    <row r="148">
      <c r="B148" s="1" t="s">
        <v>346</v>
      </c>
      <c r="D148" s="1">
        <f>D149+0.6</f>
        <v>93.56999999999998</v>
      </c>
      <c r="E148" s="1" t="s">
        <v>347</v>
      </c>
      <c r="F148" s="1">
        <f>$M$106</f>
        <v>16.573579366487635</v>
      </c>
      <c r="G148" s="1" t="s">
        <v>91</v>
      </c>
      <c r="H148" s="1">
        <f>$P$106-D148</f>
        <v>3.252500000000012</v>
      </c>
      <c r="I148" s="1" t="s">
        <v>53</v>
      </c>
      <c r="J148" s="1">
        <f>F148*H148</f>
        <v>53.90556688950123</v>
      </c>
      <c r="K148" s="1" t="s">
        <v>323</v>
      </c>
    </row>
    <row r="149">
      <c r="B149" s="1" t="s">
        <v>346</v>
      </c>
      <c r="D149" s="1">
        <f>D150+1</f>
        <v>92.96999999999998</v>
      </c>
      <c r="E149" s="1" t="s">
        <v>347</v>
      </c>
      <c r="F149" s="1">
        <f>$M$106</f>
        <v>16.573579366487635</v>
      </c>
      <c r="G149" s="1" t="s">
        <v>91</v>
      </c>
      <c r="H149" s="1">
        <f>$P$106-D149</f>
        <v>3.8525000000000063</v>
      </c>
      <c r="I149" s="1" t="s">
        <v>53</v>
      </c>
      <c r="J149" s="1">
        <f>F149*H149</f>
        <v>63.84971450939372</v>
      </c>
      <c r="K149" s="1" t="s">
        <v>323</v>
      </c>
    </row>
    <row r="150">
      <c r="B150" s="1" t="s">
        <v>346</v>
      </c>
      <c r="D150" s="1">
        <f>$E$20</f>
        <v>91.96999999999998</v>
      </c>
      <c r="E150" s="1" t="s">
        <v>347</v>
      </c>
      <c r="F150" s="1">
        <f>$M$106</f>
        <v>16.573579366487635</v>
      </c>
      <c r="G150" s="1" t="s">
        <v>91</v>
      </c>
      <c r="H150" s="1">
        <f>$P$106-D150</f>
        <v>4.852500000000006</v>
      </c>
      <c r="I150" s="1" t="s">
        <v>53</v>
      </c>
      <c r="J150" s="1">
        <f>F150*H150</f>
        <v>80.42329387588136</v>
      </c>
      <c r="K150" s="1" t="s">
        <v>323</v>
      </c>
    </row>
    <row r="151"/>
    <row r="152">
      <c r="B152" s="1" t="s">
        <v>355</v>
      </c>
    </row>
    <row r="153">
      <c r="B153" s="1" t="s">
        <v>346</v>
      </c>
      <c r="D153" s="1">
        <f>D155+0.6</f>
        <v>93.56999999999998</v>
      </c>
      <c r="E153" s="1" t="s">
        <v>347</v>
      </c>
      <c r="F153" s="1">
        <f>J130</f>
        <v>0</v>
      </c>
      <c r="G153" s="1" t="s">
        <v>148</v>
      </c>
      <c r="H153" s="1">
        <f>J139</f>
        <v>26.091637872118945</v>
      </c>
      <c r="I153" s="1" t="s">
        <v>53</v>
      </c>
    </row>
    <row r="154">
      <c r="G154" s="1" t="s">
        <v>148</v>
      </c>
      <c r="H154" s="1">
        <f>J148</f>
        <v>53.90556688950123</v>
      </c>
      <c r="J154" s="1">
        <f>F153+H153+H154</f>
        <v>79.99720476162017</v>
      </c>
      <c r="K154" s="1" t="s">
        <v>323</v>
      </c>
    </row>
    <row r="155">
      <c r="B155" s="1" t="s">
        <v>346</v>
      </c>
      <c r="D155" s="1">
        <f>D157+1</f>
        <v>92.96999999999998</v>
      </c>
      <c r="E155" s="1" t="s">
        <v>347</v>
      </c>
      <c r="F155" s="1">
        <f>J131</f>
        <v>0</v>
      </c>
      <c r="G155" s="1" t="s">
        <v>148</v>
      </c>
      <c r="H155" s="1">
        <f>J140</f>
        <v>28.358833052896816</v>
      </c>
      <c r="I155" s="1" t="s">
        <v>53</v>
      </c>
    </row>
    <row r="156">
      <c r="G156" s="1" t="s">
        <v>148</v>
      </c>
      <c r="H156" s="1">
        <f>J149</f>
        <v>63.84971450939372</v>
      </c>
      <c r="J156" s="1">
        <f>F155+H155+H156</f>
        <v>92.20854756229053</v>
      </c>
      <c r="K156" s="1" t="s">
        <v>323</v>
      </c>
    </row>
    <row r="157">
      <c r="B157" s="1" t="s">
        <v>346</v>
      </c>
      <c r="D157" s="1">
        <f>$E$20</f>
        <v>91.96999999999998</v>
      </c>
      <c r="E157" s="1" t="s">
        <v>347</v>
      </c>
      <c r="F157" s="1">
        <f>J132</f>
        <v>0</v>
      </c>
      <c r="G157" s="1" t="s">
        <v>148</v>
      </c>
      <c r="H157" s="1">
        <f>J141</f>
        <v>32.137491687526634</v>
      </c>
      <c r="I157" s="1" t="s">
        <v>53</v>
      </c>
    </row>
    <row r="158">
      <c r="G158" s="1" t="s">
        <v>148</v>
      </c>
      <c r="H158" s="1">
        <f>J150</f>
        <v>80.42329387588136</v>
      </c>
      <c r="J158" s="1">
        <f>F157+H157+H158</f>
        <v>112.56078556340799</v>
      </c>
      <c r="K158" s="1" t="s">
        <v>323</v>
      </c>
    </row>
    <row r="159">
      <c r="A159" s="4" t="s">
        <v>356</v>
      </c>
      <c r="B159" s="1" t="s">
        <v>357</v>
      </c>
    </row>
    <row r="160" ht="44.25" customHeight="1">
      <c r="B160" s="1" t="s">
        <v>358</v>
      </c>
    </row>
    <row r="161">
      <c r="A161" s="4" t="s">
        <v>359</v>
      </c>
      <c r="B161" s="1" t="s">
        <v>360</v>
      </c>
    </row>
    <row r="162">
      <c r="B162" s="1" t="s">
        <v>361</v>
      </c>
    </row>
    <row r="163">
      <c r="B163" s="1" t="s">
        <v>362</v>
      </c>
      <c r="C163" s="1" t="s">
        <v>53</v>
      </c>
      <c r="D163" s="1">
        <v>11.1</v>
      </c>
      <c r="E163" s="1" t="s">
        <v>91</v>
      </c>
      <c r="F163" s="1">
        <v>0.975</v>
      </c>
      <c r="L163" s="1" t="s">
        <v>53</v>
      </c>
      <c r="M163" s="1">
        <f>D163*F163</f>
        <v>10.8225</v>
      </c>
      <c r="N163" s="1" t="s">
        <v>202</v>
      </c>
    </row>
    <row r="164">
      <c r="B164" s="1" t="s">
        <v>363</v>
      </c>
      <c r="C164" s="1" t="s">
        <v>53</v>
      </c>
      <c r="D164" s="1">
        <f>P129</f>
        <v>101.1875</v>
      </c>
      <c r="E164" s="1" t="s">
        <v>136</v>
      </c>
      <c r="F164" s="1">
        <f>$E$16</f>
        <v>96.46999999999998</v>
      </c>
      <c r="G164" s="1" t="s">
        <v>53</v>
      </c>
      <c r="H164" s="1">
        <f>D164-F164</f>
        <v>4.717500000000015</v>
      </c>
      <c r="I164" s="1" t="s">
        <v>85</v>
      </c>
    </row>
    <row r="165">
      <c r="B165" s="1" t="s">
        <v>364</v>
      </c>
      <c r="D165" s="1" t="s">
        <v>365</v>
      </c>
      <c r="F165" s="1">
        <f>130+(141-130)*(H164-25)/(30-25)</f>
        <v>85.37850000000003</v>
      </c>
      <c r="G165" s="1" t="s">
        <v>366</v>
      </c>
      <c r="H165" s="1" t="s">
        <v>53</v>
      </c>
      <c r="J165" s="1">
        <f>F165*10/1000</f>
        <v>0.8537850000000003</v>
      </c>
      <c r="K165" s="1" t="s">
        <v>200</v>
      </c>
    </row>
    <row r="166">
      <c r="B166" s="1" t="s">
        <v>367</v>
      </c>
      <c r="C166" s="1" t="s">
        <v>53</v>
      </c>
      <c r="D166" s="1">
        <f>M163</f>
        <v>10.8225</v>
      </c>
      <c r="E166" s="1" t="s">
        <v>91</v>
      </c>
      <c r="F166" s="1">
        <f>J165</f>
        <v>0.8537850000000003</v>
      </c>
      <c r="L166" s="1" t="s">
        <v>53</v>
      </c>
      <c r="M166" s="1">
        <f>D166*F166</f>
        <v>9.240088162500003</v>
      </c>
      <c r="N166" s="1" t="s">
        <v>204</v>
      </c>
    </row>
    <row r="167">
      <c r="B167" s="1" t="s">
        <v>346</v>
      </c>
      <c r="D167" s="1">
        <f>D168+0.6</f>
        <v>93.56999999999998</v>
      </c>
      <c r="E167" s="1" t="s">
        <v>347</v>
      </c>
      <c r="F167" s="1">
        <f>$M$166</f>
        <v>9.240088162500003</v>
      </c>
      <c r="G167" s="1" t="s">
        <v>91</v>
      </c>
      <c r="H167" s="1">
        <f>$D$164-D167</f>
        <v>7.617500000000021</v>
      </c>
      <c r="I167" s="1" t="s">
        <v>53</v>
      </c>
      <c r="J167" s="1">
        <f>F167*H167</f>
        <v>70.38637157784396</v>
      </c>
      <c r="K167" s="1" t="s">
        <v>323</v>
      </c>
    </row>
    <row r="168">
      <c r="B168" s="1" t="s">
        <v>346</v>
      </c>
      <c r="D168" s="1">
        <f>D169+1</f>
        <v>92.96999999999998</v>
      </c>
      <c r="E168" s="1" t="s">
        <v>347</v>
      </c>
      <c r="F168" s="1">
        <f>$M$166</f>
        <v>9.240088162500003</v>
      </c>
      <c r="G168" s="1" t="s">
        <v>91</v>
      </c>
      <c r="H168" s="1">
        <f>$D$164-D168</f>
        <v>8.217500000000015</v>
      </c>
      <c r="I168" s="1" t="s">
        <v>53</v>
      </c>
      <c r="J168" s="1">
        <f>F168*H168</f>
        <v>75.93042447534391</v>
      </c>
      <c r="K168" s="1" t="s">
        <v>323</v>
      </c>
    </row>
    <row r="169">
      <c r="B169" s="1" t="s">
        <v>346</v>
      </c>
      <c r="D169" s="1">
        <f>$E$20</f>
        <v>91.96999999999998</v>
      </c>
      <c r="E169" s="1" t="s">
        <v>347</v>
      </c>
      <c r="F169" s="1">
        <f>$M$166</f>
        <v>9.240088162500003</v>
      </c>
      <c r="G169" s="1" t="s">
        <v>91</v>
      </c>
      <c r="H169" s="1">
        <f>$D$164-D169</f>
        <v>9.217500000000015</v>
      </c>
      <c r="I169" s="1" t="s">
        <v>53</v>
      </c>
      <c r="J169" s="1">
        <f>F169*H169</f>
        <v>85.17051263784391</v>
      </c>
      <c r="K169" s="1" t="s">
        <v>323</v>
      </c>
    </row>
    <row r="170">
      <c r="B170" s="1" t="s">
        <v>293</v>
      </c>
    </row>
    <row r="171">
      <c r="B171" s="1" t="s">
        <v>368</v>
      </c>
      <c r="C171" s="1" t="s">
        <v>53</v>
      </c>
      <c r="D171" s="1">
        <v>1.5</v>
      </c>
      <c r="E171" s="1" t="s">
        <v>91</v>
      </c>
      <c r="F171" s="1">
        <v>0.6</v>
      </c>
      <c r="L171" s="1" t="s">
        <v>53</v>
      </c>
      <c r="M171" s="1">
        <f>D171*F171</f>
        <v>0.8999999999999999</v>
      </c>
      <c r="N171" s="1" t="s">
        <v>202</v>
      </c>
    </row>
    <row r="172">
      <c r="B172" s="1" t="s">
        <v>369</v>
      </c>
      <c r="C172" s="1" t="s">
        <v>53</v>
      </c>
      <c r="D172" s="1">
        <v>1.35</v>
      </c>
      <c r="E172" s="1" t="s">
        <v>91</v>
      </c>
      <c r="F172" s="1">
        <v>0.6</v>
      </c>
      <c r="L172" s="1" t="s">
        <v>53</v>
      </c>
      <c r="M172" s="1">
        <f>D172*F172</f>
        <v>0.81</v>
      </c>
      <c r="N172" s="1" t="s">
        <v>202</v>
      </c>
    </row>
    <row r="173">
      <c r="L173" s="1" t="s">
        <v>93</v>
      </c>
      <c r="M173" s="1">
        <f>SUM(M171:M172)</f>
        <v>1.71</v>
      </c>
      <c r="N173" s="1" t="s">
        <v>202</v>
      </c>
    </row>
    <row r="174">
      <c r="B174" s="1" t="s">
        <v>370</v>
      </c>
      <c r="C174" s="1" t="s">
        <v>340</v>
      </c>
      <c r="D174" s="1">
        <f>M171</f>
        <v>0.8999999999999999</v>
      </c>
      <c r="E174" s="1" t="s">
        <v>91</v>
      </c>
      <c r="F174" s="1">
        <v>0.9</v>
      </c>
      <c r="G174" s="1" t="s">
        <v>371</v>
      </c>
      <c r="H174" s="1">
        <f>M172</f>
        <v>0.81</v>
      </c>
      <c r="I174" s="1" t="s">
        <v>91</v>
      </c>
      <c r="J174" s="1">
        <v>0.3</v>
      </c>
      <c r="K174" s="1" t="s">
        <v>372</v>
      </c>
      <c r="L174" s="1">
        <f>M173</f>
        <v>1.71</v>
      </c>
      <c r="M174" s="1">
        <f>((M171*0.9)+(M172*0.3))/M173</f>
        <v>0.6157894736842106</v>
      </c>
      <c r="N174" s="1" t="s">
        <v>92</v>
      </c>
    </row>
    <row r="175"/>
    <row r="176">
      <c r="B176" s="1" t="s">
        <v>363</v>
      </c>
      <c r="C176" s="1" t="s">
        <v>53</v>
      </c>
      <c r="D176" s="1">
        <f>P138</f>
        <v>100.475</v>
      </c>
      <c r="E176" s="1" t="s">
        <v>136</v>
      </c>
      <c r="F176" s="1">
        <f>$E$16</f>
        <v>96.46999999999998</v>
      </c>
      <c r="G176" s="1" t="s">
        <v>53</v>
      </c>
      <c r="H176" s="1">
        <f>D176-F176</f>
        <v>4.00500000000001</v>
      </c>
      <c r="I176" s="1" t="s">
        <v>85</v>
      </c>
    </row>
    <row r="177">
      <c r="B177" s="1" t="s">
        <v>364</v>
      </c>
      <c r="D177" s="1" t="s">
        <v>365</v>
      </c>
      <c r="F177" s="1">
        <f>119+(130-119)*(H176-20)/(25-20)</f>
        <v>83.81100000000002</v>
      </c>
      <c r="G177" s="1" t="s">
        <v>366</v>
      </c>
      <c r="H177" s="1" t="s">
        <v>53</v>
      </c>
      <c r="J177" s="1">
        <f>F177*10/1000</f>
        <v>0.8381100000000002</v>
      </c>
      <c r="K177" s="1" t="s">
        <v>200</v>
      </c>
    </row>
    <row r="178">
      <c r="B178" s="1" t="s">
        <v>367</v>
      </c>
      <c r="C178" s="1" t="s">
        <v>53</v>
      </c>
      <c r="D178" s="1">
        <f>M173</f>
        <v>1.71</v>
      </c>
      <c r="E178" s="1" t="s">
        <v>91</v>
      </c>
      <c r="F178" s="1">
        <f>J177</f>
        <v>0.8381100000000002</v>
      </c>
      <c r="L178" s="1" t="s">
        <v>53</v>
      </c>
      <c r="M178" s="1">
        <f>D178*F178</f>
        <v>1.4331681000000003</v>
      </c>
      <c r="N178" s="1" t="s">
        <v>204</v>
      </c>
    </row>
    <row r="179">
      <c r="B179" s="1" t="s">
        <v>346</v>
      </c>
      <c r="D179" s="1">
        <f>D180+0.6</f>
        <v>93.56999999999998</v>
      </c>
      <c r="E179" s="1" t="s">
        <v>347</v>
      </c>
      <c r="F179" s="1">
        <f>$M$178</f>
        <v>1.4331681000000003</v>
      </c>
      <c r="G179" s="1" t="s">
        <v>91</v>
      </c>
      <c r="H179" s="1">
        <f>$D$176-D179</f>
        <v>6.905000000000015</v>
      </c>
      <c r="I179" s="1" t="s">
        <v>53</v>
      </c>
      <c r="J179" s="1">
        <f>F179*H179</f>
        <v>9.896025730500025</v>
      </c>
      <c r="K179" s="1" t="s">
        <v>323</v>
      </c>
    </row>
    <row r="180">
      <c r="B180" s="1" t="s">
        <v>346</v>
      </c>
      <c r="D180" s="1">
        <f>D181+1</f>
        <v>92.96999999999998</v>
      </c>
      <c r="E180" s="1" t="s">
        <v>347</v>
      </c>
      <c r="F180" s="1">
        <f>$M$178</f>
        <v>1.4331681000000003</v>
      </c>
      <c r="G180" s="1" t="s">
        <v>91</v>
      </c>
      <c r="H180" s="1">
        <f>$D$176-D180</f>
        <v>7.50500000000001</v>
      </c>
      <c r="I180" s="1" t="s">
        <v>53</v>
      </c>
      <c r="J180" s="1">
        <f>F180*H180</f>
        <v>10.755926590500016</v>
      </c>
      <c r="K180" s="1" t="s">
        <v>323</v>
      </c>
    </row>
    <row r="181">
      <c r="B181" s="1" t="s">
        <v>346</v>
      </c>
      <c r="D181" s="1">
        <f>$E$20</f>
        <v>91.96999999999998</v>
      </c>
      <c r="E181" s="1" t="s">
        <v>347</v>
      </c>
      <c r="F181" s="1">
        <f>$M$178</f>
        <v>1.4331681000000003</v>
      </c>
      <c r="G181" s="1" t="s">
        <v>91</v>
      </c>
      <c r="H181" s="1">
        <f>$D$176-D181</f>
        <v>8.50500000000001</v>
      </c>
      <c r="I181" s="1" t="s">
        <v>53</v>
      </c>
      <c r="J181" s="1">
        <f>F181*H181</f>
        <v>12.189094690500017</v>
      </c>
      <c r="K181" s="1" t="s">
        <v>323</v>
      </c>
    </row>
    <row r="182">
      <c r="A182" s="4" t="s">
        <v>373</v>
      </c>
      <c r="B182" s="1" t="s">
        <v>374</v>
      </c>
      <c r="D182" s="2">
        <f>E22</f>
        <v>100.77499999999999</v>
      </c>
      <c r="E182" s="1" t="s">
        <v>375</v>
      </c>
      <c r="F182" s="1">
        <f>E16</f>
        <v>96.46999999999998</v>
      </c>
      <c r="G182" s="1" t="s">
        <v>92</v>
      </c>
    </row>
    <row r="183">
      <c r="B183" s="1" t="s">
        <v>376</v>
      </c>
      <c r="C183" s="1" t="s">
        <v>53</v>
      </c>
      <c r="D183" s="1">
        <v>1.2</v>
      </c>
      <c r="E183" s="1" t="s">
        <v>91</v>
      </c>
      <c r="F183" s="1">
        <f>D182-F182</f>
        <v>4.305000000000007</v>
      </c>
      <c r="L183" s="1" t="s">
        <v>53</v>
      </c>
      <c r="M183" s="1">
        <f>D183*F183</f>
        <v>5.166000000000008</v>
      </c>
      <c r="N183" s="1" t="s">
        <v>202</v>
      </c>
    </row>
    <row r="184">
      <c r="B184" s="1" t="s">
        <v>363</v>
      </c>
      <c r="C184" s="1" t="s">
        <v>53</v>
      </c>
      <c r="D184" s="1">
        <f>(D182+F182)/2</f>
        <v>98.62249999999999</v>
      </c>
      <c r="E184" s="1" t="s">
        <v>136</v>
      </c>
      <c r="F184" s="1">
        <f>$E$16</f>
        <v>96.46999999999998</v>
      </c>
      <c r="G184" s="1" t="s">
        <v>53</v>
      </c>
      <c r="H184" s="1">
        <f>D184-F184</f>
        <v>2.1525000000000034</v>
      </c>
      <c r="I184" s="1" t="s">
        <v>85</v>
      </c>
    </row>
    <row r="185">
      <c r="B185" s="1" t="s">
        <v>364</v>
      </c>
      <c r="D185" s="1" t="s">
        <v>365</v>
      </c>
      <c r="F185" s="1">
        <f>119+(130-119)*(H184-20)/(25-20)</f>
        <v>79.7355</v>
      </c>
      <c r="G185" s="1" t="s">
        <v>366</v>
      </c>
      <c r="H185" s="1" t="s">
        <v>53</v>
      </c>
      <c r="J185" s="1">
        <f>F185*10/1000</f>
        <v>0.797355</v>
      </c>
      <c r="K185" s="1" t="s">
        <v>200</v>
      </c>
    </row>
    <row r="186">
      <c r="B186" s="1" t="s">
        <v>367</v>
      </c>
      <c r="C186" s="1" t="s">
        <v>53</v>
      </c>
      <c r="D186" s="1">
        <f>M183</f>
        <v>5.166000000000008</v>
      </c>
      <c r="E186" s="1" t="s">
        <v>91</v>
      </c>
      <c r="F186" s="1">
        <f>J185</f>
        <v>0.797355</v>
      </c>
      <c r="L186" s="1" t="s">
        <v>53</v>
      </c>
      <c r="M186" s="1">
        <f>D186*F186</f>
        <v>4.119135930000007</v>
      </c>
      <c r="N186" s="1" t="s">
        <v>204</v>
      </c>
    </row>
    <row r="187">
      <c r="B187" s="1" t="s">
        <v>346</v>
      </c>
      <c r="D187" s="1">
        <f>D188+0.6</f>
        <v>93.56999999999998</v>
      </c>
      <c r="E187" s="1" t="s">
        <v>347</v>
      </c>
      <c r="F187" s="1">
        <f>$M$186</f>
        <v>4.119135930000007</v>
      </c>
      <c r="G187" s="1" t="s">
        <v>91</v>
      </c>
      <c r="H187" s="1">
        <f>$D$184-D187</f>
        <v>5.052500000000009</v>
      </c>
      <c r="I187" s="1" t="s">
        <v>53</v>
      </c>
      <c r="J187" s="1">
        <f>F187*H187</f>
        <v>20.811934286325073</v>
      </c>
      <c r="K187" s="1" t="s">
        <v>323</v>
      </c>
    </row>
    <row r="188">
      <c r="B188" s="1" t="s">
        <v>346</v>
      </c>
      <c r="D188" s="1">
        <f>D189+1</f>
        <v>92.96999999999998</v>
      </c>
      <c r="E188" s="1" t="s">
        <v>347</v>
      </c>
      <c r="F188" s="1">
        <f>$M$178</f>
        <v>1.4331681000000003</v>
      </c>
      <c r="G188" s="1" t="s">
        <v>91</v>
      </c>
      <c r="H188" s="1">
        <f>$D$184-D188</f>
        <v>5.652500000000003</v>
      </c>
      <c r="I188" s="1" t="s">
        <v>53</v>
      </c>
      <c r="J188" s="1">
        <f>F188*H188</f>
        <v>8.100982685250006</v>
      </c>
      <c r="K188" s="1" t="s">
        <v>323</v>
      </c>
    </row>
    <row r="189">
      <c r="B189" s="1" t="s">
        <v>346</v>
      </c>
      <c r="D189" s="1">
        <f>$E$20</f>
        <v>91.96999999999998</v>
      </c>
      <c r="E189" s="1" t="s">
        <v>347</v>
      </c>
      <c r="F189" s="1">
        <f>$M$178</f>
        <v>1.4331681000000003</v>
      </c>
      <c r="G189" s="1" t="s">
        <v>91</v>
      </c>
      <c r="H189" s="1">
        <f>$D$184-D189</f>
        <v>6.652500000000003</v>
      </c>
      <c r="I189" s="1" t="s">
        <v>53</v>
      </c>
      <c r="J189" s="1">
        <f>F189*H189</f>
        <v>9.534150785250008</v>
      </c>
      <c r="K189" s="1" t="s">
        <v>323</v>
      </c>
    </row>
    <row r="190">
      <c r="B190" s="1" t="s">
        <v>377</v>
      </c>
    </row>
    <row r="191">
      <c r="B191" s="1" t="s">
        <v>346</v>
      </c>
      <c r="D191" s="1">
        <f>D187</f>
        <v>93.56999999999998</v>
      </c>
      <c r="E191" s="1" t="s">
        <v>347</v>
      </c>
      <c r="F191" s="1">
        <f>J167</f>
        <v>70.38637157784396</v>
      </c>
      <c r="G191" s="1" t="s">
        <v>148</v>
      </c>
      <c r="H191" s="1">
        <f>J179</f>
        <v>9.896025730500025</v>
      </c>
      <c r="I191" s="1" t="s">
        <v>148</v>
      </c>
      <c r="J191" s="1">
        <f>J187</f>
        <v>20.811934286325073</v>
      </c>
      <c r="K191" s="1" t="s">
        <v>148</v>
      </c>
    </row>
    <row r="192">
      <c r="K192" s="1" t="s">
        <v>53</v>
      </c>
      <c r="L192" s="1">
        <f>SUM(F191:R191)</f>
        <v>101.09433159466906</v>
      </c>
      <c r="M192" s="1" t="s">
        <v>323</v>
      </c>
    </row>
    <row r="193">
      <c r="B193" s="1" t="s">
        <v>346</v>
      </c>
      <c r="D193" s="1">
        <f>D188</f>
        <v>92.96999999999998</v>
      </c>
      <c r="E193" s="1" t="s">
        <v>347</v>
      </c>
      <c r="F193" s="1">
        <f>J168</f>
        <v>75.93042447534391</v>
      </c>
      <c r="G193" s="1" t="s">
        <v>148</v>
      </c>
      <c r="H193" s="1">
        <f>J180</f>
        <v>10.755926590500016</v>
      </c>
      <c r="I193" s="1" t="s">
        <v>148</v>
      </c>
      <c r="J193" s="1">
        <f>J188</f>
        <v>8.100982685250006</v>
      </c>
      <c r="K193" s="1" t="s">
        <v>148</v>
      </c>
    </row>
    <row r="194">
      <c r="K194" s="1" t="s">
        <v>53</v>
      </c>
      <c r="L194" s="1">
        <f>SUM(F193:R193)</f>
        <v>94.78733375109393</v>
      </c>
      <c r="M194" s="1" t="s">
        <v>323</v>
      </c>
    </row>
    <row r="195">
      <c r="B195" s="1" t="s">
        <v>346</v>
      </c>
      <c r="D195" s="1">
        <f>D189</f>
        <v>91.96999999999998</v>
      </c>
      <c r="E195" s="1" t="s">
        <v>347</v>
      </c>
      <c r="F195" s="1">
        <f>J169</f>
        <v>85.17051263784391</v>
      </c>
      <c r="G195" s="1" t="s">
        <v>148</v>
      </c>
      <c r="H195" s="1">
        <f>J181</f>
        <v>12.189094690500017</v>
      </c>
      <c r="I195" s="1" t="s">
        <v>148</v>
      </c>
      <c r="J195" s="1">
        <f>J189</f>
        <v>9.534150785250008</v>
      </c>
      <c r="K195" s="1" t="s">
        <v>148</v>
      </c>
    </row>
    <row r="196">
      <c r="K196" s="1" t="s">
        <v>53</v>
      </c>
      <c r="L196" s="1">
        <f>SUM(F195:R195)</f>
        <v>106.89375811359393</v>
      </c>
      <c r="M196" s="1" t="s">
        <v>323</v>
      </c>
    </row>
    <row r="197">
      <c r="B197" s="1" t="s">
        <v>378</v>
      </c>
    </row>
    <row r="198">
      <c r="B198" s="4" t="s">
        <f>CONCATENATE("CASE- 1  FOR SERVICE CONDITION AT R. L.",E20," M")</f>
        <v>379</v>
      </c>
    </row>
    <row r="199">
      <c r="B199" s="1" t="s">
        <v>380</v>
      </c>
    </row>
    <row r="200">
      <c r="B200" s="1" t="s">
        <v>289</v>
      </c>
    </row>
    <row r="201">
      <c r="B201" s="1" t="s">
        <v>290</v>
      </c>
      <c r="C201" s="1" t="s">
        <v>53</v>
      </c>
      <c r="D201" s="1">
        <f>L29</f>
        <v>1463.6159999999998</v>
      </c>
      <c r="E201" s="1" t="s">
        <v>204</v>
      </c>
    </row>
    <row r="202">
      <c r="B202" s="1" t="s">
        <v>292</v>
      </c>
      <c r="C202" s="1" t="s">
        <v>53</v>
      </c>
      <c r="D202" s="1">
        <f>P56</f>
        <v>2821.2050880000015</v>
      </c>
      <c r="E202" s="1" t="s">
        <v>204</v>
      </c>
      <c r="F202" s="1" t="s">
        <v>381</v>
      </c>
    </row>
    <row r="203">
      <c r="B203" s="1" t="s">
        <v>292</v>
      </c>
      <c r="C203" s="1" t="s">
        <v>53</v>
      </c>
      <c r="D203" s="1">
        <f>P59</f>
        <v>2271.835470000002</v>
      </c>
      <c r="E203" s="1" t="s">
        <v>204</v>
      </c>
      <c r="F203" s="1" t="s">
        <v>382</v>
      </c>
    </row>
    <row r="204">
      <c r="B204" s="1" t="s">
        <v>383</v>
      </c>
      <c r="C204" s="1" t="s">
        <v>53</v>
      </c>
      <c r="D204" s="1">
        <f>H62</f>
        <v>788.2663473053892</v>
      </c>
      <c r="E204" s="1" t="s">
        <v>204</v>
      </c>
    </row>
    <row r="205">
      <c r="B205" s="1" t="s">
        <v>384</v>
      </c>
      <c r="C205" s="1" t="s">
        <v>53</v>
      </c>
      <c r="D205" s="1">
        <f>D201+D202+D204</f>
        <v>5073.0874353053905</v>
      </c>
      <c r="E205" s="1" t="s">
        <v>204</v>
      </c>
    </row>
    <row r="206">
      <c r="B206" s="1" t="s">
        <v>385</v>
      </c>
      <c r="C206" s="1" t="s">
        <v>53</v>
      </c>
      <c r="D206" s="1">
        <f>D201+D203+D204</f>
        <v>4523.717817305391</v>
      </c>
      <c r="E206" s="1" t="s">
        <v>204</v>
      </c>
    </row>
    <row r="207">
      <c r="B207" s="1" t="s">
        <v>386</v>
      </c>
      <c r="C207" s="1" t="s">
        <v>53</v>
      </c>
      <c r="D207" s="1">
        <f>$J$117</f>
        <v>112.56078556340799</v>
      </c>
      <c r="E207" s="1" t="s">
        <v>148</v>
      </c>
      <c r="F207" s="1">
        <f>$H$66</f>
        <v>244.25331736526948</v>
      </c>
      <c r="G207" s="1" t="s">
        <v>53</v>
      </c>
      <c r="H207" s="1">
        <f>D207+F207</f>
        <v>356.81410292867747</v>
      </c>
      <c r="I207" s="1" t="s">
        <v>323</v>
      </c>
    </row>
    <row r="208">
      <c r="B208" s="1" t="s">
        <v>387</v>
      </c>
      <c r="C208" s="1" t="s">
        <v>53</v>
      </c>
      <c r="D208" s="1">
        <f>$J$158</f>
        <v>112.56078556340799</v>
      </c>
      <c r="E208" s="1" t="s">
        <v>148</v>
      </c>
      <c r="F208" s="1">
        <f>$H$71</f>
        <v>2247.881195209581</v>
      </c>
      <c r="G208" s="1" t="s">
        <v>53</v>
      </c>
      <c r="H208" s="1">
        <f>D208+F208</f>
        <v>2360.441980772989</v>
      </c>
      <c r="I208" s="1" t="s">
        <v>323</v>
      </c>
    </row>
    <row r="209" ht="14.25" customHeight="1">
      <c r="B209" s="1" t="s">
        <v>388</v>
      </c>
      <c r="C209" s="1" t="s">
        <v>53</v>
      </c>
      <c r="D209" s="1">
        <f>D53</f>
        <v>12</v>
      </c>
      <c r="E209" s="1" t="s">
        <v>91</v>
      </c>
      <c r="F209" s="1">
        <f>F53</f>
        <v>3.8</v>
      </c>
      <c r="I209" s="1" t="s">
        <v>53</v>
      </c>
      <c r="J209" s="1">
        <f>D209*F209</f>
        <v>45.599999999999994</v>
      </c>
      <c r="K209" s="1" t="s">
        <v>389</v>
      </c>
    </row>
    <row r="210" hidden="1">
      <c r="C210" s="1" t="s">
        <v>53</v>
      </c>
    </row>
    <row r="211" ht="15.75" customHeight="1">
      <c r="B211" s="1" t="s">
        <v>390</v>
      </c>
      <c r="C211" s="1" t="s">
        <v>53</v>
      </c>
      <c r="D211" s="1" t="s">
        <v>391</v>
      </c>
      <c r="E211" s="1">
        <f>D209</f>
        <v>12</v>
      </c>
      <c r="F211" s="1" t="s">
        <v>91</v>
      </c>
      <c r="G211" s="1">
        <f>F209</f>
        <v>3.8</v>
      </c>
      <c r="H211" s="1" t="s">
        <v>392</v>
      </c>
      <c r="I211" s="1" t="s">
        <v>53</v>
      </c>
      <c r="J211" s="1">
        <f>E211*G211^2/6</f>
        <v>28.88</v>
      </c>
      <c r="K211" s="1" t="s">
        <v>393</v>
      </c>
    </row>
    <row r="212" ht="15.75" customHeight="1">
      <c r="B212" s="1" t="s">
        <v>394</v>
      </c>
      <c r="C212" s="1" t="s">
        <v>53</v>
      </c>
      <c r="D212" s="1" t="s">
        <v>391</v>
      </c>
      <c r="E212" s="1">
        <f>E211</f>
        <v>12</v>
      </c>
      <c r="F212" s="1" t="s">
        <v>392</v>
      </c>
      <c r="G212" s="1" t="s">
        <v>91</v>
      </c>
      <c r="H212" s="1">
        <f>G211</f>
        <v>3.8</v>
      </c>
      <c r="I212" s="1" t="s">
        <v>53</v>
      </c>
      <c r="J212" s="1">
        <f>E212^2*H212/6</f>
        <v>91.19999999999999</v>
      </c>
      <c r="K212" s="1" t="s">
        <v>393</v>
      </c>
    </row>
    <row r="213">
      <c r="B213" s="1" t="s">
        <v>395</v>
      </c>
      <c r="C213" s="1" t="s">
        <v>340</v>
      </c>
      <c r="D213" s="1">
        <f>D206</f>
        <v>4523.717817305391</v>
      </c>
      <c r="E213" s="1" t="s">
        <v>107</v>
      </c>
      <c r="F213" s="1">
        <f>$J$209</f>
        <v>45.599999999999994</v>
      </c>
      <c r="G213" s="1" t="s">
        <v>396</v>
      </c>
      <c r="H213" s="1">
        <f>$H$207</f>
        <v>356.81410292867747</v>
      </c>
      <c r="I213" s="1" t="s">
        <v>107</v>
      </c>
      <c r="J213" s="1">
        <f>$J$211</f>
        <v>28.88</v>
      </c>
      <c r="K213" s="1" t="s">
        <v>396</v>
      </c>
      <c r="L213" s="1">
        <f>$H$208</f>
        <v>2360.441980772989</v>
      </c>
      <c r="M213" s="1" t="s">
        <v>107</v>
      </c>
      <c r="N213" s="1">
        <f>$J$212</f>
        <v>91.19999999999999</v>
      </c>
      <c r="O213" s="1" t="s">
        <v>105</v>
      </c>
    </row>
    <row r="214">
      <c r="C214" s="1" t="s">
        <v>53</v>
      </c>
      <c r="D214" s="1">
        <f>D213/F213</f>
        <v>99.20433809880244</v>
      </c>
      <c r="E214" s="1" t="s">
        <v>397</v>
      </c>
      <c r="F214" s="1">
        <f>H213/J213</f>
        <v>12.355058965674429</v>
      </c>
      <c r="G214" s="1" t="s">
        <v>397</v>
      </c>
      <c r="H214" s="1">
        <f>L213/N213</f>
        <v>25.882039262861728</v>
      </c>
    </row>
    <row r="215" ht="15.75" customHeight="1">
      <c r="B215" s="1" t="s">
        <v>398</v>
      </c>
      <c r="C215" s="1" t="s">
        <v>53</v>
      </c>
      <c r="D215" s="1">
        <f>D214</f>
        <v>99.20433809880244</v>
      </c>
      <c r="E215" s="1" t="s">
        <v>148</v>
      </c>
      <c r="F215" s="1">
        <f>F214</f>
        <v>12.355058965674429</v>
      </c>
      <c r="G215" s="1" t="s">
        <v>148</v>
      </c>
      <c r="H215" s="1">
        <f>H214</f>
        <v>25.882039262861728</v>
      </c>
    </row>
    <row r="216" ht="14.25" customHeight="1">
      <c r="C216" s="1" t="s">
        <v>53</v>
      </c>
      <c r="D216" s="1">
        <f>D215+F215+H215</f>
        <v>137.4414363273386</v>
      </c>
      <c r="E216" s="1" t="s">
        <v>280</v>
      </c>
    </row>
    <row r="217">
      <c r="D217" s="1" t="s">
        <v>399</v>
      </c>
    </row>
    <row r="218" ht="15.75" customHeight="1">
      <c r="B218" s="1" t="s">
        <v>400</v>
      </c>
      <c r="C218" s="1" t="s">
        <v>53</v>
      </c>
      <c r="D218" s="1">
        <f>D215</f>
        <v>99.20433809880244</v>
      </c>
      <c r="E218" s="1" t="s">
        <v>136</v>
      </c>
      <c r="F218" s="1">
        <f>F215</f>
        <v>12.355058965674429</v>
      </c>
      <c r="G218" s="1" t="s">
        <v>136</v>
      </c>
      <c r="H218" s="1">
        <f>H215</f>
        <v>25.882039262861728</v>
      </c>
    </row>
    <row r="219" ht="14.25" customHeight="1">
      <c r="C219" s="1" t="s">
        <v>53</v>
      </c>
      <c r="D219" s="1">
        <f>D218-F218-H218</f>
        <v>60.96723987026628</v>
      </c>
      <c r="E219" s="1" t="s">
        <v>280</v>
      </c>
    </row>
    <row r="220">
      <c r="D220" s="1" t="s">
        <v>401</v>
      </c>
    </row>
    <row r="221"/>
    <row r="222">
      <c r="B222" s="1" t="s">
        <v>402</v>
      </c>
      <c r="C222" s="1" t="s">
        <v>340</v>
      </c>
      <c r="D222" s="1">
        <f>D205</f>
        <v>5073.0874353053905</v>
      </c>
      <c r="E222" s="1" t="s">
        <v>107</v>
      </c>
      <c r="F222" s="1">
        <f>$J$209</f>
        <v>45.599999999999994</v>
      </c>
      <c r="G222" s="1" t="s">
        <v>396</v>
      </c>
      <c r="H222" s="1">
        <f>$H$207</f>
        <v>356.81410292867747</v>
      </c>
      <c r="I222" s="1" t="s">
        <v>107</v>
      </c>
      <c r="J222" s="1">
        <f>$J$211</f>
        <v>28.88</v>
      </c>
      <c r="K222" s="1" t="s">
        <v>396</v>
      </c>
      <c r="L222" s="1">
        <f>$H$208</f>
        <v>2360.441980772989</v>
      </c>
      <c r="M222" s="1" t="s">
        <v>107</v>
      </c>
      <c r="N222" s="1">
        <f>$J$212</f>
        <v>91.19999999999999</v>
      </c>
      <c r="O222" s="1" t="s">
        <v>105</v>
      </c>
    </row>
    <row r="223">
      <c r="C223" s="1" t="s">
        <v>53</v>
      </c>
      <c r="D223" s="1">
        <f>D222/F222</f>
        <v>111.2519174409077</v>
      </c>
      <c r="E223" s="1" t="s">
        <v>397</v>
      </c>
      <c r="F223" s="1">
        <f>H222/J222</f>
        <v>12.355058965674429</v>
      </c>
      <c r="G223" s="1" t="s">
        <v>397</v>
      </c>
      <c r="H223" s="1">
        <f>L222/N222</f>
        <v>25.882039262861728</v>
      </c>
    </row>
    <row r="224" ht="15.75" customHeight="1">
      <c r="B224" s="1" t="s">
        <v>398</v>
      </c>
      <c r="C224" s="1" t="s">
        <v>53</v>
      </c>
      <c r="D224" s="1">
        <f>D223</f>
        <v>111.2519174409077</v>
      </c>
      <c r="E224" s="1" t="s">
        <v>148</v>
      </c>
      <c r="F224" s="1">
        <f>F223</f>
        <v>12.355058965674429</v>
      </c>
      <c r="G224" s="1" t="s">
        <v>148</v>
      </c>
      <c r="H224" s="1">
        <f>H223</f>
        <v>25.882039262861728</v>
      </c>
    </row>
    <row r="225" ht="14.25" customHeight="1">
      <c r="C225" s="1" t="s">
        <v>53</v>
      </c>
      <c r="D225" s="1">
        <f>D224+F224+H224-12</f>
        <v>137.48901566944386</v>
      </c>
      <c r="E225" s="1" t="s">
        <v>280</v>
      </c>
    </row>
    <row r="226">
      <c r="D226" s="1" t="s">
        <v>399</v>
      </c>
    </row>
    <row r="227" ht="15.75" customHeight="1">
      <c r="B227" s="1" t="s">
        <v>400</v>
      </c>
      <c r="C227" s="1" t="s">
        <v>53</v>
      </c>
      <c r="D227" s="1">
        <f>D224</f>
        <v>111.2519174409077</v>
      </c>
      <c r="E227" s="1" t="s">
        <v>136</v>
      </c>
      <c r="F227" s="1">
        <f>F224</f>
        <v>12.355058965674429</v>
      </c>
      <c r="G227" s="1" t="s">
        <v>136</v>
      </c>
      <c r="H227" s="1">
        <f>H224</f>
        <v>25.882039262861728</v>
      </c>
    </row>
    <row r="228" ht="14.25" customHeight="1">
      <c r="C228" s="1" t="s">
        <v>53</v>
      </c>
      <c r="D228" s="1">
        <f>D227-F227-H227</f>
        <v>73.01481921237155</v>
      </c>
      <c r="E228" s="1" t="s">
        <v>280</v>
      </c>
    </row>
    <row r="229">
      <c r="D229" s="1" t="s">
        <v>401</v>
      </c>
    </row>
    <row r="230"/>
    <row r="231">
      <c r="B231" s="4" t="s">
        <f>CONCATENATE("CASE- 2  FOR IDLE CONDITION AT R. L.",E20," M")</f>
        <v>403</v>
      </c>
      <c r="F231" s="1" t="s">
        <v>404</v>
      </c>
    </row>
    <row r="232" hidden="1"/>
    <row r="233">
      <c r="B233" s="1" t="s">
        <v>290</v>
      </c>
      <c r="C233" s="1" t="s">
        <v>53</v>
      </c>
      <c r="D233" s="1">
        <f>D201</f>
        <v>1463.6159999999998</v>
      </c>
      <c r="E233" s="1" t="s">
        <v>204</v>
      </c>
      <c r="F233" s="1" t="s">
        <v>405</v>
      </c>
    </row>
    <row r="234">
      <c r="B234" s="1" t="s">
        <v>292</v>
      </c>
      <c r="C234" s="1" t="s">
        <v>53</v>
      </c>
      <c r="D234" s="1">
        <f>D202</f>
        <v>2821.2050880000015</v>
      </c>
      <c r="E234" s="1" t="s">
        <v>204</v>
      </c>
      <c r="F234" s="1" t="s">
        <v>381</v>
      </c>
    </row>
    <row r="235">
      <c r="B235" s="1" t="s">
        <v>292</v>
      </c>
      <c r="C235" s="1" t="s">
        <v>53</v>
      </c>
      <c r="D235" s="1">
        <f>D203</f>
        <v>2271.835470000002</v>
      </c>
      <c r="E235" s="1" t="s">
        <v>204</v>
      </c>
      <c r="F235" s="1" t="s">
        <v>382</v>
      </c>
    </row>
    <row r="236">
      <c r="B236" s="1" t="s">
        <v>383</v>
      </c>
      <c r="C236" s="1" t="s">
        <v>53</v>
      </c>
      <c r="D236" s="1">
        <v>0</v>
      </c>
      <c r="E236" s="1" t="s">
        <v>204</v>
      </c>
    </row>
    <row r="237">
      <c r="B237" s="1" t="s">
        <v>384</v>
      </c>
      <c r="C237" s="1" t="s">
        <v>53</v>
      </c>
      <c r="D237" s="1">
        <f>D233+D234+D236</f>
        <v>4284.8210880000015</v>
      </c>
      <c r="E237" s="1" t="s">
        <v>204</v>
      </c>
    </row>
    <row r="238">
      <c r="B238" s="1" t="s">
        <v>385</v>
      </c>
      <c r="C238" s="1" t="s">
        <v>53</v>
      </c>
      <c r="D238" s="1">
        <f>D233+D235+D236</f>
        <v>3735.451470000002</v>
      </c>
      <c r="E238" s="1" t="s">
        <v>204</v>
      </c>
    </row>
    <row r="239">
      <c r="B239" s="1" t="s">
        <v>395</v>
      </c>
      <c r="C239" s="1" t="s">
        <v>340</v>
      </c>
      <c r="D239" s="1">
        <f>D238</f>
        <v>3735.451470000002</v>
      </c>
      <c r="E239" s="1" t="s">
        <v>107</v>
      </c>
      <c r="F239" s="1">
        <f>$J$209</f>
        <v>45.599999999999994</v>
      </c>
      <c r="G239" s="1" t="s">
        <v>396</v>
      </c>
      <c r="H239" s="1">
        <f>$J$117</f>
        <v>112.56078556340799</v>
      </c>
      <c r="I239" s="1" t="s">
        <v>107</v>
      </c>
      <c r="J239" s="1">
        <f>$J$211</f>
        <v>28.88</v>
      </c>
      <c r="K239" s="1" t="s">
        <v>396</v>
      </c>
      <c r="L239" s="1">
        <f>$J$158</f>
        <v>112.56078556340799</v>
      </c>
      <c r="M239" s="1" t="s">
        <v>107</v>
      </c>
      <c r="N239" s="1">
        <f>$J$212</f>
        <v>91.19999999999999</v>
      </c>
      <c r="O239" s="1" t="s">
        <v>105</v>
      </c>
    </row>
    <row r="240">
      <c r="C240" s="1" t="s">
        <v>53</v>
      </c>
      <c r="D240" s="1">
        <f>D239/F239</f>
        <v>81.91779539473688</v>
      </c>
      <c r="E240" s="1" t="s">
        <v>397</v>
      </c>
      <c r="F240" s="1">
        <f>H239/J239</f>
        <v>3.8975341261567866</v>
      </c>
      <c r="G240" s="1" t="s">
        <v>397</v>
      </c>
      <c r="H240" s="1">
        <f>L239/N239</f>
        <v>1.2342191399496492</v>
      </c>
    </row>
    <row r="241" ht="15.75" customHeight="1">
      <c r="B241" s="1" t="s">
        <v>398</v>
      </c>
      <c r="C241" s="1" t="s">
        <v>53</v>
      </c>
      <c r="D241" s="1">
        <f>D240</f>
        <v>81.91779539473688</v>
      </c>
      <c r="E241" s="1" t="s">
        <v>148</v>
      </c>
      <c r="F241" s="1">
        <f>F240</f>
        <v>3.8975341261567866</v>
      </c>
      <c r="G241" s="1" t="s">
        <v>148</v>
      </c>
      <c r="H241" s="1">
        <f>H240</f>
        <v>1.2342191399496492</v>
      </c>
    </row>
    <row r="242" ht="14.25" customHeight="1">
      <c r="C242" s="1" t="s">
        <v>53</v>
      </c>
      <c r="D242" s="1">
        <f>D241+F241+H241</f>
        <v>87.04954866084331</v>
      </c>
      <c r="E242" s="1" t="s">
        <v>280</v>
      </c>
    </row>
    <row r="243">
      <c r="D243" s="1" t="s">
        <v>399</v>
      </c>
    </row>
    <row r="244" ht="15.75" customHeight="1">
      <c r="B244" s="1" t="s">
        <v>400</v>
      </c>
      <c r="C244" s="1" t="s">
        <v>53</v>
      </c>
      <c r="D244" s="1">
        <f>D241</f>
        <v>81.91779539473688</v>
      </c>
      <c r="E244" s="1" t="s">
        <v>136</v>
      </c>
      <c r="F244" s="1">
        <f>F241</f>
        <v>3.8975341261567866</v>
      </c>
      <c r="G244" s="1" t="s">
        <v>136</v>
      </c>
      <c r="H244" s="1">
        <f>H241</f>
        <v>1.2342191399496492</v>
      </c>
    </row>
    <row r="245" ht="14.25" customHeight="1">
      <c r="C245" s="1" t="s">
        <v>53</v>
      </c>
      <c r="D245" s="1">
        <f>D244-F244-H244</f>
        <v>76.78604212863046</v>
      </c>
      <c r="E245" s="1" t="s">
        <v>280</v>
      </c>
    </row>
    <row r="246">
      <c r="D246" s="1" t="s">
        <v>401</v>
      </c>
    </row>
    <row r="247"/>
    <row r="248">
      <c r="B248" s="1" t="s">
        <v>402</v>
      </c>
      <c r="C248" s="1" t="s">
        <v>340</v>
      </c>
      <c r="D248" s="1">
        <f>D237</f>
        <v>4284.8210880000015</v>
      </c>
      <c r="E248" s="1" t="s">
        <v>107</v>
      </c>
      <c r="F248" s="1">
        <f>$J$209</f>
        <v>45.599999999999994</v>
      </c>
      <c r="G248" s="1" t="s">
        <v>396</v>
      </c>
      <c r="H248" s="1">
        <f>$J$117</f>
        <v>112.56078556340799</v>
      </c>
      <c r="I248" s="1" t="s">
        <v>107</v>
      </c>
      <c r="J248" s="1">
        <f>$J$211</f>
        <v>28.88</v>
      </c>
      <c r="K248" s="1" t="s">
        <v>396</v>
      </c>
      <c r="L248" s="1">
        <f>$J$158</f>
        <v>112.56078556340799</v>
      </c>
      <c r="M248" s="1" t="s">
        <v>107</v>
      </c>
      <c r="N248" s="1">
        <f>$J$212</f>
        <v>91.19999999999999</v>
      </c>
      <c r="O248" s="1" t="s">
        <v>105</v>
      </c>
    </row>
    <row r="249">
      <c r="C249" s="1" t="s">
        <v>53</v>
      </c>
      <c r="D249" s="1">
        <f>D248/F248</f>
        <v>93.96537473684215</v>
      </c>
      <c r="E249" s="1" t="s">
        <v>397</v>
      </c>
      <c r="F249" s="1">
        <f>H248/J248</f>
        <v>3.8975341261567866</v>
      </c>
      <c r="G249" s="1" t="s">
        <v>397</v>
      </c>
      <c r="H249" s="1">
        <f>L248/N248</f>
        <v>1.2342191399496492</v>
      </c>
    </row>
    <row r="250" ht="15.75" customHeight="1">
      <c r="B250" s="1" t="s">
        <v>398</v>
      </c>
      <c r="C250" s="1" t="s">
        <v>53</v>
      </c>
      <c r="D250" s="1">
        <f>D249</f>
        <v>93.96537473684215</v>
      </c>
      <c r="E250" s="1" t="s">
        <v>148</v>
      </c>
      <c r="F250" s="1">
        <f>F249</f>
        <v>3.8975341261567866</v>
      </c>
      <c r="G250" s="1" t="s">
        <v>148</v>
      </c>
      <c r="H250" s="1">
        <f>H249</f>
        <v>1.2342191399496492</v>
      </c>
    </row>
    <row r="251" ht="14.25" customHeight="1">
      <c r="C251" s="1" t="s">
        <v>53</v>
      </c>
      <c r="D251" s="1">
        <f>D250+F250+H250</f>
        <v>99.09712800294858</v>
      </c>
      <c r="E251" s="1" t="s">
        <v>280</v>
      </c>
    </row>
    <row r="252">
      <c r="D252" s="1" t="s">
        <v>399</v>
      </c>
    </row>
    <row r="253" ht="15.75" customHeight="1">
      <c r="B253" s="1" t="s">
        <v>400</v>
      </c>
      <c r="C253" s="1" t="s">
        <v>53</v>
      </c>
      <c r="D253" s="1">
        <f>D250</f>
        <v>93.96537473684215</v>
      </c>
      <c r="E253" s="1" t="s">
        <v>136</v>
      </c>
      <c r="F253" s="1">
        <f>F250</f>
        <v>3.8975341261567866</v>
      </c>
      <c r="G253" s="1" t="s">
        <v>136</v>
      </c>
      <c r="H253" s="1">
        <f>H250</f>
        <v>1.2342191399496492</v>
      </c>
    </row>
    <row r="254" ht="14.25" customHeight="1">
      <c r="C254" s="1" t="s">
        <v>53</v>
      </c>
      <c r="D254" s="1">
        <f>D253-F253-H253</f>
        <v>88.83362147073572</v>
      </c>
      <c r="E254" s="1" t="s">
        <v>280</v>
      </c>
    </row>
    <row r="255">
      <c r="D255" s="1" t="s">
        <v>401</v>
      </c>
    </row>
    <row r="256"/>
    <row r="257">
      <c r="B257" s="4" t="s">
        <f>CONCATENATE("CASE- 3 FOR WIND FORCE AT SERVICE CONDITION AT R. L.",E20," M")</f>
        <v>406</v>
      </c>
    </row>
    <row r="258" hidden="1"/>
    <row r="259">
      <c r="B259" s="1" t="s">
        <v>290</v>
      </c>
      <c r="C259" s="1" t="s">
        <v>53</v>
      </c>
      <c r="D259" s="1">
        <f>D201</f>
        <v>1463.6159999999998</v>
      </c>
      <c r="E259" s="1" t="s">
        <v>204</v>
      </c>
    </row>
    <row r="260">
      <c r="B260" s="1" t="s">
        <v>292</v>
      </c>
      <c r="C260" s="1" t="s">
        <v>53</v>
      </c>
      <c r="D260" s="1">
        <f>D202</f>
        <v>2821.2050880000015</v>
      </c>
      <c r="E260" s="1" t="s">
        <v>204</v>
      </c>
      <c r="F260" s="1" t="s">
        <v>381</v>
      </c>
    </row>
    <row r="261">
      <c r="B261" s="1" t="s">
        <v>292</v>
      </c>
      <c r="C261" s="1" t="s">
        <v>53</v>
      </c>
      <c r="D261" s="1">
        <f>D203</f>
        <v>2271.835470000002</v>
      </c>
      <c r="E261" s="1" t="s">
        <v>204</v>
      </c>
      <c r="F261" s="1" t="s">
        <v>382</v>
      </c>
    </row>
    <row r="262">
      <c r="B262" s="1" t="s">
        <v>383</v>
      </c>
      <c r="C262" s="1" t="s">
        <v>53</v>
      </c>
      <c r="D262" s="1">
        <f>D204</f>
        <v>788.2663473053892</v>
      </c>
      <c r="E262" s="1" t="s">
        <v>204</v>
      </c>
    </row>
    <row r="263">
      <c r="B263" s="1" t="s">
        <v>384</v>
      </c>
      <c r="C263" s="1" t="s">
        <v>53</v>
      </c>
      <c r="D263" s="1">
        <f>D205</f>
        <v>5073.0874353053905</v>
      </c>
      <c r="E263" s="1" t="s">
        <v>204</v>
      </c>
    </row>
    <row r="264">
      <c r="B264" s="1" t="s">
        <v>385</v>
      </c>
      <c r="C264" s="1" t="s">
        <v>53</v>
      </c>
      <c r="D264" s="1">
        <f>D206</f>
        <v>4523.717817305391</v>
      </c>
      <c r="E264" s="1" t="s">
        <v>204</v>
      </c>
    </row>
    <row r="265">
      <c r="B265" s="1" t="s">
        <v>386</v>
      </c>
      <c r="C265" s="1" t="s">
        <v>53</v>
      </c>
      <c r="D265" s="1">
        <f>$J$117</f>
        <v>112.56078556340799</v>
      </c>
      <c r="E265" s="1" t="s">
        <v>148</v>
      </c>
      <c r="F265" s="1">
        <f>$H$66</f>
        <v>244.25331736526948</v>
      </c>
      <c r="I265" s="1" t="s">
        <v>53</v>
      </c>
      <c r="J265" s="1">
        <f>D265+F265</f>
        <v>356.81410292867747</v>
      </c>
      <c r="K265" s="1" t="s">
        <v>323</v>
      </c>
    </row>
    <row r="266">
      <c r="B266" s="1" t="s">
        <v>387</v>
      </c>
      <c r="C266" s="1" t="s">
        <v>53</v>
      </c>
      <c r="D266" s="1">
        <f>$J$158</f>
        <v>112.56078556340799</v>
      </c>
      <c r="E266" s="1" t="s">
        <v>148</v>
      </c>
      <c r="F266" s="1">
        <f>$L$196</f>
        <v>106.89375811359393</v>
      </c>
      <c r="G266" s="1" t="s">
        <v>148</v>
      </c>
      <c r="H266" s="1">
        <f>$H$71</f>
        <v>2247.881195209581</v>
      </c>
      <c r="I266" s="1" t="s">
        <v>53</v>
      </c>
      <c r="J266" s="1">
        <f>D266+F266+H266</f>
        <v>2467.335738886583</v>
      </c>
      <c r="K266" s="1" t="s">
        <v>323</v>
      </c>
    </row>
    <row r="267">
      <c r="B267" s="1" t="s">
        <v>395</v>
      </c>
      <c r="C267" s="1" t="s">
        <v>340</v>
      </c>
      <c r="D267" s="1">
        <f>D264</f>
        <v>4523.717817305391</v>
      </c>
      <c r="E267" s="1" t="s">
        <v>107</v>
      </c>
      <c r="F267" s="1">
        <f>$J$209</f>
        <v>45.599999999999994</v>
      </c>
      <c r="G267" s="1" t="s">
        <v>396</v>
      </c>
      <c r="H267" s="1">
        <f>$J$265</f>
        <v>356.81410292867747</v>
      </c>
      <c r="I267" s="1" t="s">
        <v>107</v>
      </c>
      <c r="J267" s="1">
        <f>$J$211</f>
        <v>28.88</v>
      </c>
      <c r="K267" s="1" t="s">
        <v>396</v>
      </c>
      <c r="L267" s="1">
        <f>$J$266</f>
        <v>2467.335738886583</v>
      </c>
      <c r="M267" s="1" t="s">
        <v>107</v>
      </c>
      <c r="N267" s="1">
        <f>$J$212</f>
        <v>91.19999999999999</v>
      </c>
      <c r="O267" s="1" t="s">
        <v>105</v>
      </c>
    </row>
    <row r="268">
      <c r="C268" s="1" t="s">
        <v>53</v>
      </c>
      <c r="D268" s="1">
        <f>D267/F267</f>
        <v>99.20433809880244</v>
      </c>
      <c r="E268" s="1" t="s">
        <v>397</v>
      </c>
      <c r="F268" s="1">
        <f>H267/J267</f>
        <v>12.355058965674429</v>
      </c>
      <c r="G268" s="1" t="s">
        <v>397</v>
      </c>
      <c r="H268" s="1">
        <f>L267/N267</f>
        <v>27.054119943931834</v>
      </c>
    </row>
    <row r="269" ht="15.75" customHeight="1">
      <c r="B269" s="1" t="s">
        <v>398</v>
      </c>
      <c r="C269" s="1" t="s">
        <v>53</v>
      </c>
      <c r="D269" s="1">
        <f>D268</f>
        <v>99.20433809880244</v>
      </c>
      <c r="E269" s="1" t="s">
        <v>148</v>
      </c>
      <c r="F269" s="1">
        <f>F268</f>
        <v>12.355058965674429</v>
      </c>
      <c r="G269" s="1" t="s">
        <v>148</v>
      </c>
      <c r="H269" s="1">
        <f>H268</f>
        <v>27.054119943931834</v>
      </c>
    </row>
    <row r="270" ht="14.25" customHeight="1">
      <c r="C270" s="1" t="s">
        <v>53</v>
      </c>
      <c r="D270" s="1">
        <f>D269+F269+H269</f>
        <v>138.6135170084087</v>
      </c>
      <c r="E270" s="1" t="s">
        <v>280</v>
      </c>
    </row>
    <row r="271">
      <c r="D271" s="1" t="s">
        <v>399</v>
      </c>
    </row>
    <row r="272" ht="15.75" customHeight="1">
      <c r="B272" s="1" t="s">
        <v>400</v>
      </c>
      <c r="C272" s="1" t="s">
        <v>53</v>
      </c>
      <c r="D272" s="1">
        <f>D269</f>
        <v>99.20433809880244</v>
      </c>
      <c r="E272" s="1" t="s">
        <v>136</v>
      </c>
      <c r="F272" s="1">
        <f>F269</f>
        <v>12.355058965674429</v>
      </c>
      <c r="G272" s="1" t="s">
        <v>136</v>
      </c>
      <c r="H272" s="1">
        <f>H269</f>
        <v>27.054119943931834</v>
      </c>
    </row>
    <row r="273" ht="14.25" customHeight="1">
      <c r="C273" s="1" t="s">
        <v>53</v>
      </c>
      <c r="D273" s="1">
        <f>D272-F272-H272</f>
        <v>59.79515918919617</v>
      </c>
      <c r="E273" s="1" t="s">
        <v>280</v>
      </c>
    </row>
    <row r="274">
      <c r="D274" s="1" t="s">
        <v>401</v>
      </c>
    </row>
    <row r="275"/>
    <row r="276">
      <c r="B276" s="1" t="s">
        <v>402</v>
      </c>
      <c r="C276" s="1" t="s">
        <v>340</v>
      </c>
      <c r="D276" s="1">
        <f>D263</f>
        <v>5073.0874353053905</v>
      </c>
      <c r="E276" s="1" t="s">
        <v>107</v>
      </c>
      <c r="F276" s="1">
        <f>$J$209</f>
        <v>45.599999999999994</v>
      </c>
      <c r="G276" s="1" t="s">
        <v>396</v>
      </c>
      <c r="H276" s="1">
        <f>$J$265</f>
        <v>356.81410292867747</v>
      </c>
      <c r="I276" s="1" t="s">
        <v>107</v>
      </c>
      <c r="J276" s="1">
        <f>$J$211</f>
        <v>28.88</v>
      </c>
      <c r="K276" s="1" t="s">
        <v>396</v>
      </c>
      <c r="L276" s="1">
        <f>$J$266</f>
        <v>2467.335738886583</v>
      </c>
      <c r="M276" s="1" t="s">
        <v>107</v>
      </c>
      <c r="N276" s="1">
        <f>$J$212</f>
        <v>91.19999999999999</v>
      </c>
      <c r="O276" s="1" t="s">
        <v>105</v>
      </c>
    </row>
    <row r="277">
      <c r="C277" s="1" t="s">
        <v>53</v>
      </c>
      <c r="D277" s="1">
        <f>D276/F276</f>
        <v>111.2519174409077</v>
      </c>
      <c r="E277" s="1" t="s">
        <v>397</v>
      </c>
      <c r="F277" s="1">
        <f>H276/J276</f>
        <v>12.355058965674429</v>
      </c>
      <c r="G277" s="1" t="s">
        <v>397</v>
      </c>
      <c r="H277" s="1">
        <f>L276/N276</f>
        <v>27.054119943931834</v>
      </c>
    </row>
    <row r="278" ht="15.75" customHeight="1">
      <c r="B278" s="1" t="s">
        <v>398</v>
      </c>
      <c r="C278" s="1" t="s">
        <v>53</v>
      </c>
      <c r="D278" s="1">
        <f>D277</f>
        <v>111.2519174409077</v>
      </c>
      <c r="E278" s="1" t="s">
        <v>148</v>
      </c>
      <c r="F278" s="1">
        <f>F277</f>
        <v>12.355058965674429</v>
      </c>
      <c r="G278" s="1" t="s">
        <v>148</v>
      </c>
      <c r="H278" s="1">
        <f>H277</f>
        <v>27.054119943931834</v>
      </c>
    </row>
    <row r="279" ht="14.25" customHeight="1">
      <c r="C279" s="1" t="s">
        <v>53</v>
      </c>
      <c r="D279" s="1">
        <f>D278+F278+H278-12</f>
        <v>138.66109635051396</v>
      </c>
      <c r="E279" s="1" t="s">
        <v>280</v>
      </c>
    </row>
    <row r="280">
      <c r="D280" s="1" t="s">
        <v>399</v>
      </c>
    </row>
    <row r="281" ht="15.75" customHeight="1">
      <c r="B281" s="1" t="s">
        <v>400</v>
      </c>
      <c r="C281" s="1" t="s">
        <v>53</v>
      </c>
      <c r="D281" s="1">
        <f>D278</f>
        <v>111.2519174409077</v>
      </c>
      <c r="E281" s="1" t="s">
        <v>136</v>
      </c>
      <c r="F281" s="1">
        <f>F278</f>
        <v>12.355058965674429</v>
      </c>
      <c r="G281" s="1" t="s">
        <v>136</v>
      </c>
      <c r="H281" s="1">
        <f>H278</f>
        <v>27.054119943931834</v>
      </c>
    </row>
    <row r="282" ht="14.25" customHeight="1">
      <c r="C282" s="1" t="s">
        <v>53</v>
      </c>
      <c r="D282" s="1">
        <f>D281-F281-H281</f>
        <v>71.84273853130144</v>
      </c>
      <c r="E282" s="1" t="s">
        <v>280</v>
      </c>
    </row>
    <row r="283">
      <c r="D283" s="1" t="s">
        <v>401</v>
      </c>
    </row>
    <row r="284"/>
    <row r="285">
      <c r="B285" s="4" t="s">
        <f>CONCATENATE("CASE- 4 FOR WIND FORCE AT IDLE CONDITION AT R. L.",E20," M")</f>
        <v>407</v>
      </c>
      <c r="G285" s="1" t="s">
        <v>408</v>
      </c>
    </row>
    <row r="286" hidden="1"/>
    <row r="287">
      <c r="B287" s="1" t="s">
        <v>290</v>
      </c>
      <c r="C287" s="1" t="s">
        <v>53</v>
      </c>
      <c r="D287" s="1">
        <f>D259</f>
        <v>1463.6159999999998</v>
      </c>
      <c r="E287" s="1" t="s">
        <v>204</v>
      </c>
    </row>
    <row r="288">
      <c r="B288" s="1" t="s">
        <v>292</v>
      </c>
      <c r="C288" s="1" t="s">
        <v>53</v>
      </c>
      <c r="D288" s="1">
        <f>D260</f>
        <v>2821.2050880000015</v>
      </c>
      <c r="E288" s="1" t="s">
        <v>204</v>
      </c>
      <c r="F288" s="1" t="s">
        <v>381</v>
      </c>
    </row>
    <row r="289">
      <c r="B289" s="1" t="s">
        <v>292</v>
      </c>
      <c r="C289" s="1" t="s">
        <v>53</v>
      </c>
      <c r="D289" s="1">
        <f>D261</f>
        <v>2271.835470000002</v>
      </c>
      <c r="E289" s="1" t="s">
        <v>204</v>
      </c>
      <c r="F289" s="1" t="s">
        <v>382</v>
      </c>
    </row>
    <row r="290">
      <c r="B290" s="1" t="s">
        <v>383</v>
      </c>
      <c r="C290" s="1" t="s">
        <v>53</v>
      </c>
      <c r="D290" s="1">
        <v>0</v>
      </c>
      <c r="E290" s="1" t="s">
        <v>204</v>
      </c>
    </row>
    <row r="291">
      <c r="B291" s="1" t="s">
        <v>384</v>
      </c>
      <c r="C291" s="1" t="s">
        <v>53</v>
      </c>
      <c r="D291" s="1">
        <f>D287+D288</f>
        <v>4284.8210880000015</v>
      </c>
      <c r="E291" s="1" t="s">
        <v>204</v>
      </c>
    </row>
    <row r="292">
      <c r="B292" s="1" t="s">
        <v>385</v>
      </c>
      <c r="C292" s="1" t="s">
        <v>53</v>
      </c>
      <c r="D292" s="1">
        <f>D289+D287</f>
        <v>3735.451470000002</v>
      </c>
      <c r="E292" s="1" t="s">
        <v>204</v>
      </c>
    </row>
    <row r="293">
      <c r="B293" s="1" t="s">
        <v>386</v>
      </c>
      <c r="C293" s="1" t="s">
        <v>53</v>
      </c>
      <c r="D293" s="1">
        <f>$J$117</f>
        <v>112.56078556340799</v>
      </c>
      <c r="E293" s="1" t="s">
        <v>323</v>
      </c>
    </row>
    <row r="294">
      <c r="B294" s="1" t="s">
        <v>387</v>
      </c>
      <c r="C294" s="1" t="s">
        <v>53</v>
      </c>
      <c r="D294" s="1">
        <f>$J$158</f>
        <v>112.56078556340799</v>
      </c>
      <c r="E294" s="1" t="s">
        <v>148</v>
      </c>
      <c r="F294" s="1">
        <f>$L$196</f>
        <v>106.89375811359393</v>
      </c>
      <c r="G294" s="1" t="s">
        <v>53</v>
      </c>
      <c r="H294" s="1">
        <f>D294+F294</f>
        <v>219.45454367700194</v>
      </c>
      <c r="I294" s="1" t="s">
        <v>323</v>
      </c>
    </row>
    <row r="295">
      <c r="B295" s="1" t="s">
        <v>395</v>
      </c>
      <c r="C295" s="1" t="s">
        <v>340</v>
      </c>
      <c r="D295" s="1">
        <f>D292</f>
        <v>3735.451470000002</v>
      </c>
      <c r="E295" s="1" t="s">
        <v>107</v>
      </c>
      <c r="F295" s="1">
        <f>$J$209</f>
        <v>45.599999999999994</v>
      </c>
      <c r="G295" s="1" t="s">
        <v>396</v>
      </c>
      <c r="H295" s="1">
        <f>$J$117</f>
        <v>112.56078556340799</v>
      </c>
      <c r="I295" s="1" t="s">
        <v>107</v>
      </c>
      <c r="J295" s="1">
        <f>$J$211</f>
        <v>28.88</v>
      </c>
      <c r="K295" s="1" t="s">
        <v>396</v>
      </c>
      <c r="L295" s="1">
        <f>H294</f>
        <v>219.45454367700194</v>
      </c>
      <c r="M295" s="1" t="s">
        <v>107</v>
      </c>
      <c r="N295" s="1">
        <f>$J$212</f>
        <v>91.19999999999999</v>
      </c>
      <c r="O295" s="1" t="s">
        <v>105</v>
      </c>
    </row>
    <row r="296">
      <c r="C296" s="1" t="s">
        <v>53</v>
      </c>
      <c r="D296" s="1">
        <f>D295/F295</f>
        <v>81.91779539473688</v>
      </c>
      <c r="E296" s="1" t="s">
        <v>397</v>
      </c>
      <c r="F296" s="1">
        <f>H295/J295</f>
        <v>3.8975341261567866</v>
      </c>
      <c r="G296" s="1" t="s">
        <v>397</v>
      </c>
      <c r="H296" s="1">
        <f>L295/N295</f>
        <v>2.4062998210197586</v>
      </c>
    </row>
    <row r="297" ht="15.75" customHeight="1">
      <c r="B297" s="1" t="s">
        <v>398</v>
      </c>
      <c r="C297" s="1" t="s">
        <v>53</v>
      </c>
      <c r="D297" s="1">
        <f>D296</f>
        <v>81.91779539473688</v>
      </c>
      <c r="E297" s="1" t="s">
        <v>148</v>
      </c>
      <c r="F297" s="1">
        <f>F296</f>
        <v>3.8975341261567866</v>
      </c>
      <c r="G297" s="1" t="s">
        <v>148</v>
      </c>
      <c r="H297" s="1">
        <f>H296</f>
        <v>2.4062998210197586</v>
      </c>
    </row>
    <row r="298" ht="15" customHeight="1">
      <c r="C298" s="1" t="s">
        <v>53</v>
      </c>
      <c r="D298" s="1">
        <f>D297+F297+H297</f>
        <v>88.22162934191343</v>
      </c>
      <c r="E298" s="1" t="s">
        <v>280</v>
      </c>
      <c r="J298" s="1">
        <f>D304</f>
        <v>83.40902969987391</v>
      </c>
      <c r="N298" s="1">
        <f>D307</f>
        <v>80.42656108959986</v>
      </c>
    </row>
    <row r="299">
      <c r="D299" s="1" t="s">
        <v>399</v>
      </c>
    </row>
    <row r="300" ht="15.75" customHeight="1">
      <c r="B300" s="1" t="s">
        <v>400</v>
      </c>
      <c r="C300" s="1" t="s">
        <v>53</v>
      </c>
      <c r="D300" s="1">
        <f>D297</f>
        <v>81.91779539473688</v>
      </c>
      <c r="E300" s="1" t="s">
        <v>136</v>
      </c>
      <c r="F300" s="1">
        <f>F297</f>
        <v>3.8975341261567866</v>
      </c>
      <c r="G300" s="1" t="s">
        <v>136</v>
      </c>
      <c r="H300" s="1">
        <f>H297</f>
        <v>2.4062998210197586</v>
      </c>
    </row>
    <row r="301" ht="14.25" customHeight="1">
      <c r="C301" s="1" t="s">
        <v>53</v>
      </c>
      <c r="D301" s="1">
        <f>D300-F300-H300</f>
        <v>75.61396144756034</v>
      </c>
      <c r="E301" s="1" t="s">
        <v>280</v>
      </c>
    </row>
    <row r="302">
      <c r="D302" s="1" t="s">
        <v>401</v>
      </c>
    </row>
    <row r="303" ht="16.5" customHeight="1">
      <c r="B303" s="1" t="s">
        <v>409</v>
      </c>
      <c r="C303" s="1" t="s">
        <v>53</v>
      </c>
      <c r="D303" s="1">
        <f>D297</f>
        <v>81.91779539473688</v>
      </c>
      <c r="E303" s="1" t="s">
        <v>148</v>
      </c>
      <c r="F303" s="1">
        <f>F297</f>
        <v>3.8975341261567866</v>
      </c>
      <c r="G303" s="1" t="s">
        <v>136</v>
      </c>
      <c r="H303" s="1">
        <f>H297</f>
        <v>2.4062998210197586</v>
      </c>
    </row>
    <row r="304" ht="14.25" customHeight="1">
      <c r="C304" s="1" t="s">
        <v>53</v>
      </c>
      <c r="D304" s="1">
        <f>D303+F303-H303</f>
        <v>83.40902969987391</v>
      </c>
      <c r="E304" s="1" t="s">
        <v>280</v>
      </c>
      <c r="J304" s="1">
        <f>D301</f>
        <v>75.61396144756034</v>
      </c>
      <c r="N304" s="1">
        <f>D298</f>
        <v>88.22162934191343</v>
      </c>
    </row>
    <row r="305">
      <c r="D305" s="1" t="s">
        <v>399</v>
      </c>
      <c r="K305" s="1" t="s">
        <v>410</v>
      </c>
    </row>
    <row r="306" ht="15.75" customHeight="1">
      <c r="B306" s="1" t="s">
        <v>411</v>
      </c>
      <c r="C306" s="1" t="s">
        <v>53</v>
      </c>
      <c r="D306" s="1">
        <f>D303</f>
        <v>81.91779539473688</v>
      </c>
      <c r="E306" s="1" t="s">
        <v>136</v>
      </c>
      <c r="F306" s="1">
        <f>F303</f>
        <v>3.8975341261567866</v>
      </c>
      <c r="G306" s="1" t="s">
        <v>148</v>
      </c>
      <c r="H306" s="1">
        <f>H303</f>
        <v>2.4062998210197586</v>
      </c>
    </row>
    <row r="307" ht="14.25" customHeight="1">
      <c r="C307" s="1" t="s">
        <v>53</v>
      </c>
      <c r="D307" s="1">
        <f>D306-F306+H306</f>
        <v>80.42656108959986</v>
      </c>
      <c r="E307" s="1" t="s">
        <v>280</v>
      </c>
    </row>
    <row r="308">
      <c r="D308" s="1" t="s">
        <v>401</v>
      </c>
    </row>
    <row r="309">
      <c r="B309" s="1" t="s">
        <v>402</v>
      </c>
      <c r="C309" s="1" t="s">
        <v>340</v>
      </c>
      <c r="D309" s="1">
        <f>D291</f>
        <v>4284.8210880000015</v>
      </c>
      <c r="E309" s="1" t="s">
        <v>107</v>
      </c>
      <c r="F309" s="1">
        <f>$J$209</f>
        <v>45.599999999999994</v>
      </c>
      <c r="G309" s="1" t="s">
        <v>396</v>
      </c>
      <c r="H309" s="1">
        <f>$J$117</f>
        <v>112.56078556340799</v>
      </c>
      <c r="I309" s="1" t="s">
        <v>107</v>
      </c>
      <c r="J309" s="1">
        <f>$J$211</f>
        <v>28.88</v>
      </c>
      <c r="K309" s="1" t="s">
        <v>396</v>
      </c>
      <c r="L309" s="1">
        <f>L295</f>
        <v>219.45454367700194</v>
      </c>
      <c r="M309" s="1" t="s">
        <v>107</v>
      </c>
      <c r="N309" s="1">
        <f>$J$212</f>
        <v>91.19999999999999</v>
      </c>
      <c r="O309" s="1" t="s">
        <v>105</v>
      </c>
    </row>
    <row r="310">
      <c r="C310" s="1" t="s">
        <v>53</v>
      </c>
      <c r="D310" s="1">
        <f>D309/F309</f>
        <v>93.96537473684215</v>
      </c>
      <c r="E310" s="1" t="s">
        <v>397</v>
      </c>
      <c r="F310" s="1">
        <f>H309/J309</f>
        <v>3.8975341261567866</v>
      </c>
      <c r="G310" s="1" t="s">
        <v>397</v>
      </c>
      <c r="H310" s="1">
        <f>L309/N309</f>
        <v>2.4062998210197586</v>
      </c>
    </row>
    <row r="311" ht="16.5" customHeight="1">
      <c r="B311" s="1" t="s">
        <v>398</v>
      </c>
      <c r="C311" s="1" t="s">
        <v>53</v>
      </c>
      <c r="D311" s="1">
        <f>D310</f>
        <v>93.96537473684215</v>
      </c>
      <c r="E311" s="1" t="s">
        <v>148</v>
      </c>
      <c r="F311" s="1">
        <f>F310</f>
        <v>3.8975341261567866</v>
      </c>
      <c r="G311" s="1" t="s">
        <v>148</v>
      </c>
      <c r="H311" s="1">
        <f>H310</f>
        <v>2.4062998210197586</v>
      </c>
      <c r="J311" s="1">
        <f>D311-F311+H311</f>
        <v>92.47414043170512</v>
      </c>
      <c r="N311" s="1">
        <f>D311+F311-H311</f>
        <v>95.45660904197918</v>
      </c>
    </row>
    <row r="312" ht="14.25" customHeight="1">
      <c r="C312" s="1" t="s">
        <v>53</v>
      </c>
      <c r="D312" s="1">
        <f>D311+F311+H311</f>
        <v>100.2692086840187</v>
      </c>
      <c r="E312" s="1" t="s">
        <v>280</v>
      </c>
    </row>
    <row r="313">
      <c r="D313" s="1" t="s">
        <v>399</v>
      </c>
    </row>
    <row r="314" ht="15.75" customHeight="1">
      <c r="B314" s="1" t="s">
        <v>400</v>
      </c>
      <c r="C314" s="1" t="s">
        <v>53</v>
      </c>
      <c r="D314" s="1">
        <f>D311</f>
        <v>93.96537473684215</v>
      </c>
      <c r="E314" s="1" t="s">
        <v>136</v>
      </c>
      <c r="F314" s="1">
        <f>F311</f>
        <v>3.8975341261567866</v>
      </c>
      <c r="G314" s="1" t="s">
        <v>136</v>
      </c>
      <c r="H314" s="1">
        <f>H311</f>
        <v>2.4062998210197586</v>
      </c>
    </row>
    <row r="315" ht="15" customHeight="1">
      <c r="C315" s="1" t="s">
        <v>53</v>
      </c>
      <c r="D315" s="1">
        <f>D314-F314-H314</f>
        <v>87.66154078966561</v>
      </c>
      <c r="E315" s="1" t="s">
        <v>280</v>
      </c>
    </row>
    <row r="316">
      <c r="D316" s="1" t="s">
        <v>401</v>
      </c>
      <c r="J316" s="1">
        <f>D315</f>
        <v>87.66154078966561</v>
      </c>
      <c r="N316" s="1">
        <f>D312</f>
        <v>100.2692086840187</v>
      </c>
    </row>
    <row r="317">
      <c r="K317" s="1" t="s">
        <v>410</v>
      </c>
    </row>
    <row r="318"/>
    <row r="319">
      <c r="B319" s="4" t="s">
        <f>CONCATENATE("CASE- 5 FOR ONE SPAN DISLODGED CONDITION AT R. L.",E20," M")</f>
        <v>412</v>
      </c>
    </row>
    <row r="320" hidden="1"/>
    <row r="321">
      <c r="B321" s="1" t="s">
        <v>290</v>
      </c>
      <c r="C321" s="1" t="s">
        <v>53</v>
      </c>
      <c r="D321" s="1">
        <f>D287/2</f>
        <v>731.8079999999999</v>
      </c>
      <c r="E321" s="1" t="s">
        <v>204</v>
      </c>
    </row>
    <row r="322">
      <c r="B322" s="1" t="s">
        <v>292</v>
      </c>
      <c r="C322" s="1" t="s">
        <v>53</v>
      </c>
      <c r="D322" s="1">
        <f>D288</f>
        <v>2821.2050880000015</v>
      </c>
      <c r="E322" s="1" t="s">
        <v>204</v>
      </c>
      <c r="F322" s="1" t="s">
        <v>381</v>
      </c>
    </row>
    <row r="323">
      <c r="B323" s="1" t="s">
        <v>292</v>
      </c>
      <c r="C323" s="1" t="s">
        <v>53</v>
      </c>
      <c r="D323" s="1">
        <f>D289</f>
        <v>2271.835470000002</v>
      </c>
      <c r="E323" s="1" t="s">
        <v>204</v>
      </c>
      <c r="F323" s="1" t="s">
        <v>382</v>
      </c>
    </row>
    <row r="324">
      <c r="B324" s="1" t="s">
        <v>383</v>
      </c>
      <c r="C324" s="1" t="s">
        <v>53</v>
      </c>
      <c r="D324" s="1">
        <v>0</v>
      </c>
      <c r="E324" s="1" t="s">
        <v>204</v>
      </c>
    </row>
    <row r="325">
      <c r="B325" s="1" t="s">
        <v>384</v>
      </c>
      <c r="C325" s="1" t="s">
        <v>53</v>
      </c>
      <c r="D325" s="1">
        <f>D321+D322</f>
        <v>3553.0130880000015</v>
      </c>
      <c r="E325" s="1" t="s">
        <v>204</v>
      </c>
    </row>
    <row r="326">
      <c r="B326" s="1" t="s">
        <v>385</v>
      </c>
      <c r="C326" s="1" t="s">
        <v>53</v>
      </c>
      <c r="D326" s="1">
        <f>D323+D321</f>
        <v>3003.643470000002</v>
      </c>
      <c r="E326" s="1" t="s">
        <v>204</v>
      </c>
    </row>
    <row r="327">
      <c r="B327" s="1" t="s">
        <v>386</v>
      </c>
      <c r="C327" s="1" t="s">
        <v>53</v>
      </c>
      <c r="D327" s="1">
        <f>D293</f>
        <v>112.56078556340799</v>
      </c>
      <c r="E327" s="1" t="s">
        <v>323</v>
      </c>
    </row>
    <row r="328">
      <c r="B328" s="1" t="s">
        <v>387</v>
      </c>
      <c r="C328" s="1" t="s">
        <v>53</v>
      </c>
      <c r="D328" s="1">
        <f>D294</f>
        <v>112.56078556340799</v>
      </c>
      <c r="E328" s="1" t="s">
        <v>148</v>
      </c>
      <c r="F328" s="1">
        <f>F294</f>
        <v>106.89375811359393</v>
      </c>
      <c r="G328" s="1" t="s">
        <v>53</v>
      </c>
      <c r="H328" s="1">
        <f>D328+F328</f>
        <v>219.45454367700194</v>
      </c>
      <c r="I328" s="1" t="s">
        <v>323</v>
      </c>
    </row>
    <row r="329">
      <c r="B329" s="1" t="s">
        <v>395</v>
      </c>
      <c r="C329" s="1" t="s">
        <v>340</v>
      </c>
      <c r="D329" s="1">
        <f>D326</f>
        <v>3003.643470000002</v>
      </c>
      <c r="E329" s="1" t="s">
        <v>107</v>
      </c>
      <c r="F329" s="1">
        <f>$J$209</f>
        <v>45.599999999999994</v>
      </c>
      <c r="G329" s="1" t="s">
        <v>396</v>
      </c>
      <c r="H329" s="1">
        <f>$J$117</f>
        <v>112.56078556340799</v>
      </c>
      <c r="I329" s="1" t="s">
        <v>107</v>
      </c>
      <c r="J329" s="1">
        <f>$J$211</f>
        <v>28.88</v>
      </c>
      <c r="K329" s="1" t="s">
        <v>396</v>
      </c>
      <c r="L329" s="1">
        <f>H328</f>
        <v>219.45454367700194</v>
      </c>
      <c r="M329" s="1" t="s">
        <v>107</v>
      </c>
      <c r="N329" s="1">
        <f>$J$212</f>
        <v>91.19999999999999</v>
      </c>
      <c r="O329" s="1" t="s">
        <v>105</v>
      </c>
    </row>
    <row r="330">
      <c r="C330" s="1" t="s">
        <v>53</v>
      </c>
      <c r="D330" s="1">
        <f>D329/F329</f>
        <v>65.86937434210532</v>
      </c>
      <c r="E330" s="1" t="s">
        <v>397</v>
      </c>
      <c r="F330" s="1">
        <f>H329/J329</f>
        <v>3.8975341261567866</v>
      </c>
      <c r="G330" s="1" t="s">
        <v>397</v>
      </c>
      <c r="H330" s="1">
        <f>L329/N329</f>
        <v>2.4062998210197586</v>
      </c>
    </row>
    <row r="331" ht="15.75" customHeight="1">
      <c r="B331" s="1" t="s">
        <v>398</v>
      </c>
      <c r="C331" s="1" t="s">
        <v>53</v>
      </c>
      <c r="D331" s="1">
        <f>D330</f>
        <v>65.86937434210532</v>
      </c>
      <c r="E331" s="1" t="s">
        <v>148</v>
      </c>
      <c r="F331" s="1">
        <f>F330</f>
        <v>3.8975341261567866</v>
      </c>
      <c r="G331" s="1" t="s">
        <v>148</v>
      </c>
      <c r="H331" s="1">
        <f>H330</f>
        <v>2.4062998210197586</v>
      </c>
    </row>
    <row r="332" ht="15" customHeight="1">
      <c r="C332" s="1" t="s">
        <v>53</v>
      </c>
      <c r="D332" s="1">
        <f>D331+F331+H331</f>
        <v>72.17320828928186</v>
      </c>
      <c r="E332" s="1" t="s">
        <v>280</v>
      </c>
      <c r="J332" s="1">
        <f>D340</f>
        <v>64.37814003696829</v>
      </c>
      <c r="N332" s="1">
        <f>D337</f>
        <v>67.36060864724234</v>
      </c>
    </row>
    <row r="333">
      <c r="D333" s="1" t="s">
        <v>399</v>
      </c>
    </row>
    <row r="334" ht="15.75" customHeight="1">
      <c r="B334" s="1" t="s">
        <v>400</v>
      </c>
      <c r="C334" s="1" t="s">
        <v>53</v>
      </c>
      <c r="D334" s="1">
        <f>D331</f>
        <v>65.86937434210532</v>
      </c>
      <c r="E334" s="1" t="s">
        <v>136</v>
      </c>
      <c r="F334" s="1">
        <f>F331</f>
        <v>3.8975341261567866</v>
      </c>
      <c r="G334" s="1" t="s">
        <v>136</v>
      </c>
      <c r="H334" s="1">
        <f>H331</f>
        <v>2.4062998210197586</v>
      </c>
    </row>
    <row r="335" ht="14.25" customHeight="1">
      <c r="C335" s="1" t="s">
        <v>53</v>
      </c>
      <c r="D335" s="1">
        <f>D334-F334-H334</f>
        <v>59.565540394928775</v>
      </c>
      <c r="E335" s="1" t="s">
        <v>280</v>
      </c>
    </row>
    <row r="336" ht="16.5" customHeight="1">
      <c r="B336" s="1" t="s">
        <v>409</v>
      </c>
      <c r="C336" s="1" t="s">
        <v>53</v>
      </c>
      <c r="D336" s="1">
        <f>D331</f>
        <v>65.86937434210532</v>
      </c>
      <c r="E336" s="1" t="s">
        <v>148</v>
      </c>
      <c r="F336" s="1">
        <f>F331</f>
        <v>3.8975341261567866</v>
      </c>
      <c r="G336" s="1" t="s">
        <v>136</v>
      </c>
      <c r="H336" s="1">
        <f>H331</f>
        <v>2.4062998210197586</v>
      </c>
    </row>
    <row r="337" ht="14.25" customHeight="1">
      <c r="C337" s="1" t="s">
        <v>53</v>
      </c>
      <c r="D337" s="1">
        <f>D336+F336-H336</f>
        <v>67.36060864724234</v>
      </c>
      <c r="E337" s="1" t="s">
        <v>280</v>
      </c>
      <c r="J337" s="1">
        <f>D335</f>
        <v>59.565540394928775</v>
      </c>
      <c r="N337" s="1">
        <f>D332</f>
        <v>72.17320828928186</v>
      </c>
    </row>
    <row r="338">
      <c r="K338" s="1" t="s">
        <v>410</v>
      </c>
    </row>
    <row r="339" ht="15.75" customHeight="1">
      <c r="B339" s="1" t="s">
        <v>411</v>
      </c>
      <c r="C339" s="1" t="s">
        <v>53</v>
      </c>
      <c r="D339" s="1">
        <f>D336</f>
        <v>65.86937434210532</v>
      </c>
      <c r="E339" s="1" t="s">
        <v>136</v>
      </c>
      <c r="F339" s="1">
        <f>F336</f>
        <v>3.8975341261567866</v>
      </c>
      <c r="G339" s="1" t="s">
        <v>148</v>
      </c>
      <c r="H339" s="1">
        <f>H336</f>
        <v>2.4062998210197586</v>
      </c>
    </row>
    <row r="340" ht="14.25" customHeight="1">
      <c r="C340" s="1" t="s">
        <v>53</v>
      </c>
      <c r="D340" s="1">
        <f>D339-F339+H339</f>
        <v>64.37814003696829</v>
      </c>
      <c r="E340" s="1" t="s">
        <v>280</v>
      </c>
    </row>
    <row r="341"/>
    <row r="342"/>
    <row r="343">
      <c r="B343" s="1" t="s">
        <v>402</v>
      </c>
      <c r="C343" s="1" t="s">
        <v>340</v>
      </c>
      <c r="D343" s="1">
        <f>D325</f>
        <v>3553.0130880000015</v>
      </c>
      <c r="E343" s="1" t="s">
        <v>107</v>
      </c>
      <c r="F343" s="1">
        <f>$J$209</f>
        <v>45.599999999999994</v>
      </c>
      <c r="G343" s="1" t="s">
        <v>396</v>
      </c>
      <c r="H343" s="1">
        <f>$J$117</f>
        <v>112.56078556340799</v>
      </c>
      <c r="I343" s="1" t="s">
        <v>107</v>
      </c>
      <c r="J343" s="1">
        <f>$J$211</f>
        <v>28.88</v>
      </c>
      <c r="K343" s="1" t="s">
        <v>396</v>
      </c>
      <c r="L343" s="1">
        <f>H342</f>
        <v>0</v>
      </c>
      <c r="M343" s="1" t="s">
        <v>107</v>
      </c>
      <c r="N343" s="1">
        <f>$J$212</f>
        <v>91.19999999999999</v>
      </c>
      <c r="O343" s="1" t="s">
        <v>105</v>
      </c>
    </row>
    <row r="344">
      <c r="C344" s="1" t="s">
        <v>53</v>
      </c>
      <c r="D344" s="1">
        <f>D343/F343</f>
        <v>77.91695368421057</v>
      </c>
      <c r="E344" s="1" t="s">
        <v>397</v>
      </c>
      <c r="F344" s="1">
        <f>H343/J343</f>
        <v>3.8975341261567866</v>
      </c>
      <c r="G344" s="1" t="s">
        <v>397</v>
      </c>
      <c r="H344" s="1">
        <f>L343/N343</f>
        <v>0</v>
      </c>
    </row>
    <row r="345" ht="15.75" customHeight="1">
      <c r="B345" s="1" t="s">
        <v>398</v>
      </c>
      <c r="C345" s="1" t="s">
        <v>53</v>
      </c>
      <c r="D345" s="1">
        <f>D344</f>
        <v>77.91695368421057</v>
      </c>
      <c r="E345" s="1" t="s">
        <v>148</v>
      </c>
      <c r="F345" s="1">
        <f>F344</f>
        <v>3.8975341261567866</v>
      </c>
      <c r="G345" s="1" t="s">
        <v>148</v>
      </c>
      <c r="H345" s="1">
        <f>H344</f>
        <v>0</v>
      </c>
    </row>
    <row r="346" ht="15" customHeight="1">
      <c r="C346" s="1" t="s">
        <v>53</v>
      </c>
      <c r="D346" s="1">
        <f>D345+F345+H345</f>
        <v>81.81448781036735</v>
      </c>
      <c r="E346" s="1" t="s">
        <v>280</v>
      </c>
      <c r="J346" s="1">
        <f>D354</f>
        <v>74.01941955805378</v>
      </c>
      <c r="N346" s="1">
        <f>D351</f>
        <v>81.81448781036735</v>
      </c>
    </row>
    <row r="347"/>
    <row r="348" ht="15.75" customHeight="1">
      <c r="B348" s="1" t="s">
        <v>400</v>
      </c>
      <c r="C348" s="1" t="s">
        <v>53</v>
      </c>
      <c r="D348" s="1">
        <f>D345</f>
        <v>77.91695368421057</v>
      </c>
      <c r="E348" s="1" t="s">
        <v>136</v>
      </c>
      <c r="F348" s="1">
        <f>F345</f>
        <v>3.8975341261567866</v>
      </c>
      <c r="G348" s="1" t="s">
        <v>136</v>
      </c>
      <c r="H348" s="1">
        <f>H345</f>
        <v>0</v>
      </c>
    </row>
    <row r="349" ht="14.25" customHeight="1">
      <c r="C349" s="1" t="s">
        <v>53</v>
      </c>
      <c r="D349" s="1">
        <f>D348-F348-H348</f>
        <v>74.01941955805378</v>
      </c>
      <c r="E349" s="1" t="s">
        <v>280</v>
      </c>
    </row>
    <row r="350" ht="16.5" customHeight="1">
      <c r="B350" s="1" t="s">
        <v>409</v>
      </c>
      <c r="C350" s="1" t="s">
        <v>53</v>
      </c>
      <c r="D350" s="1">
        <f>D345</f>
        <v>77.91695368421057</v>
      </c>
      <c r="E350" s="1" t="s">
        <v>148</v>
      </c>
      <c r="F350" s="1">
        <f>F345</f>
        <v>3.8975341261567866</v>
      </c>
      <c r="G350" s="1" t="s">
        <v>136</v>
      </c>
      <c r="H350" s="1">
        <f>H345</f>
        <v>0</v>
      </c>
    </row>
    <row r="351" ht="14.25" customHeight="1">
      <c r="C351" s="1" t="s">
        <v>53</v>
      </c>
      <c r="D351" s="1">
        <f>D350+F350-H350</f>
        <v>81.81448781036735</v>
      </c>
      <c r="E351" s="1" t="s">
        <v>280</v>
      </c>
      <c r="J351" s="1">
        <f>D349</f>
        <v>74.01941955805378</v>
      </c>
      <c r="N351" s="1">
        <f>D346</f>
        <v>81.81448781036735</v>
      </c>
    </row>
    <row r="352">
      <c r="K352" s="1" t="s">
        <v>410</v>
      </c>
    </row>
    <row r="353" ht="15.75" customHeight="1">
      <c r="B353" s="1" t="s">
        <v>411</v>
      </c>
      <c r="C353" s="1" t="s">
        <v>53</v>
      </c>
      <c r="D353" s="1">
        <f>D350</f>
        <v>77.91695368421057</v>
      </c>
      <c r="E353" s="1" t="s">
        <v>136</v>
      </c>
      <c r="F353" s="1">
        <f>F350</f>
        <v>3.8975341261567866</v>
      </c>
      <c r="G353" s="1" t="s">
        <v>148</v>
      </c>
      <c r="H353" s="1">
        <f>H350</f>
        <v>0</v>
      </c>
    </row>
    <row r="354" ht="14.25" customHeight="1">
      <c r="C354" s="1" t="s">
        <v>53</v>
      </c>
      <c r="D354" s="1">
        <f>D353-F353+H353</f>
        <v>74.01941955805378</v>
      </c>
      <c r="E354" s="1" t="s">
        <v>280</v>
      </c>
    </row>
    <row r="355"/>
    <row r="356">
      <c r="B356" s="4" t="s">
        <f>CONCATENATE("CASE- 6  FOR SERVICE CONDITION AT R. L.",E20+1," M")</f>
        <v>413</v>
      </c>
    </row>
    <row r="357">
      <c r="B357" s="1" t="s">
        <v>380</v>
      </c>
    </row>
    <row r="358">
      <c r="B358" s="1" t="s">
        <v>289</v>
      </c>
    </row>
    <row r="359">
      <c r="B359" s="1" t="s">
        <v>290</v>
      </c>
      <c r="C359" s="1" t="s">
        <v>53</v>
      </c>
      <c r="D359" s="1">
        <f>$D$259</f>
        <v>1463.6159999999998</v>
      </c>
      <c r="E359" s="1" t="s">
        <v>204</v>
      </c>
    </row>
    <row r="360">
      <c r="B360" s="1" t="s">
        <v>292</v>
      </c>
      <c r="C360" s="1" t="s">
        <v>53</v>
      </c>
      <c r="D360" s="1">
        <f>P56-P53</f>
        <v>1726.8050880000017</v>
      </c>
      <c r="E360" s="1" t="s">
        <v>204</v>
      </c>
      <c r="F360" s="1" t="s">
        <v>381</v>
      </c>
    </row>
    <row r="361">
      <c r="B361" s="1" t="s">
        <v>292</v>
      </c>
      <c r="C361" s="1" t="s">
        <v>53</v>
      </c>
      <c r="D361" s="1">
        <f>P59-P54</f>
        <v>1633.4354700000017</v>
      </c>
      <c r="E361" s="1" t="s">
        <v>204</v>
      </c>
      <c r="F361" s="1" t="s">
        <v>382</v>
      </c>
    </row>
    <row r="362">
      <c r="B362" s="1" t="s">
        <v>383</v>
      </c>
      <c r="C362" s="1" t="s">
        <v>53</v>
      </c>
      <c r="D362" s="1">
        <f>$D$262</f>
        <v>788.2663473053892</v>
      </c>
      <c r="E362" s="1" t="s">
        <v>204</v>
      </c>
    </row>
    <row r="363">
      <c r="B363" s="1" t="s">
        <v>384</v>
      </c>
      <c r="C363" s="1" t="s">
        <v>53</v>
      </c>
      <c r="D363" s="1">
        <f>D359+D360+D362</f>
        <v>3978.687435305391</v>
      </c>
      <c r="E363" s="1" t="s">
        <v>204</v>
      </c>
    </row>
    <row r="364">
      <c r="B364" s="1" t="s">
        <v>385</v>
      </c>
      <c r="C364" s="1" t="s">
        <v>53</v>
      </c>
      <c r="D364" s="1">
        <f>D359+D361+D362</f>
        <v>3885.3178173053902</v>
      </c>
      <c r="E364" s="1" t="s">
        <v>204</v>
      </c>
    </row>
    <row r="365">
      <c r="B365" s="1" t="s">
        <v>386</v>
      </c>
      <c r="C365" s="1" t="s">
        <v>53</v>
      </c>
      <c r="D365" s="1">
        <f>$J$113</f>
        <v>79.99720476162017</v>
      </c>
      <c r="E365" s="1" t="s">
        <v>148</v>
      </c>
      <c r="F365" s="1">
        <f>$H$66</f>
        <v>244.25331736526948</v>
      </c>
      <c r="G365" s="1" t="s">
        <v>53</v>
      </c>
      <c r="H365" s="1">
        <f>D365+F365</f>
        <v>324.2505221268897</v>
      </c>
      <c r="I365" s="1" t="s">
        <v>323</v>
      </c>
    </row>
    <row r="366">
      <c r="B366" s="1" t="s">
        <v>387</v>
      </c>
      <c r="C366" s="1" t="s">
        <v>53</v>
      </c>
      <c r="D366" s="1">
        <f>$J$154</f>
        <v>79.99720476162017</v>
      </c>
      <c r="E366" s="1" t="s">
        <v>148</v>
      </c>
      <c r="F366" s="1">
        <f>$H$71</f>
        <v>2247.881195209581</v>
      </c>
      <c r="G366" s="1" t="s">
        <v>53</v>
      </c>
      <c r="H366" s="1">
        <f>D366+F366</f>
        <v>2327.8783999712014</v>
      </c>
      <c r="I366" s="1" t="s">
        <v>323</v>
      </c>
    </row>
    <row r="367" ht="14.25" customHeight="1">
      <c r="B367" s="1" t="s">
        <v>388</v>
      </c>
      <c r="C367" s="1" t="s">
        <v>53</v>
      </c>
      <c r="D367" s="1">
        <v>12</v>
      </c>
      <c r="E367" s="1" t="s">
        <v>91</v>
      </c>
      <c r="F367" s="1">
        <v>1.2</v>
      </c>
      <c r="I367" s="1" t="s">
        <v>53</v>
      </c>
      <c r="J367" s="1">
        <f>D367*F367</f>
        <v>14.399999999999999</v>
      </c>
      <c r="K367" s="1" t="s">
        <v>389</v>
      </c>
    </row>
    <row r="368" hidden="1">
      <c r="C368" s="1" t="s">
        <v>53</v>
      </c>
    </row>
    <row r="369" ht="15.75" customHeight="1">
      <c r="B369" s="1" t="s">
        <v>390</v>
      </c>
      <c r="C369" s="1" t="s">
        <v>53</v>
      </c>
      <c r="D369" s="1" t="s">
        <v>391</v>
      </c>
      <c r="E369" s="1">
        <f>D367</f>
        <v>12</v>
      </c>
      <c r="F369" s="1" t="s">
        <v>91</v>
      </c>
      <c r="G369" s="1">
        <f>F367</f>
        <v>1.2</v>
      </c>
      <c r="H369" s="1" t="s">
        <v>392</v>
      </c>
      <c r="I369" s="1" t="s">
        <v>53</v>
      </c>
      <c r="J369" s="1">
        <f>E369*G369^2/6</f>
        <v>2.8800000000000003</v>
      </c>
      <c r="K369" s="1" t="s">
        <v>393</v>
      </c>
    </row>
    <row r="370" ht="15.75" customHeight="1">
      <c r="B370" s="1" t="s">
        <v>394</v>
      </c>
      <c r="C370" s="1" t="s">
        <v>53</v>
      </c>
      <c r="D370" s="1" t="s">
        <v>391</v>
      </c>
      <c r="E370" s="1">
        <f>E369</f>
        <v>12</v>
      </c>
      <c r="F370" s="1" t="s">
        <v>392</v>
      </c>
      <c r="G370" s="1" t="s">
        <v>91</v>
      </c>
      <c r="H370" s="1">
        <f>G369</f>
        <v>1.2</v>
      </c>
      <c r="I370" s="1" t="s">
        <v>53</v>
      </c>
      <c r="J370" s="1">
        <f>E370^2*H370/6</f>
        <v>28.799999999999997</v>
      </c>
      <c r="K370" s="1" t="s">
        <v>393</v>
      </c>
    </row>
    <row r="371">
      <c r="B371" s="1" t="s">
        <v>395</v>
      </c>
      <c r="C371" s="1" t="s">
        <v>340</v>
      </c>
      <c r="D371" s="1">
        <f>D364</f>
        <v>3885.3178173053902</v>
      </c>
      <c r="E371" s="1" t="s">
        <v>107</v>
      </c>
      <c r="F371" s="1">
        <f>$J$367</f>
        <v>14.399999999999999</v>
      </c>
      <c r="G371" s="1" t="s">
        <v>396</v>
      </c>
      <c r="H371" s="1">
        <f>$H$365</f>
        <v>324.2505221268897</v>
      </c>
      <c r="I371" s="1" t="s">
        <v>107</v>
      </c>
      <c r="J371" s="1">
        <f>$J$369</f>
        <v>2.8800000000000003</v>
      </c>
      <c r="K371" s="1" t="s">
        <v>396</v>
      </c>
      <c r="L371" s="1">
        <f>$H$366</f>
        <v>2327.8783999712014</v>
      </c>
      <c r="M371" s="1" t="s">
        <v>107</v>
      </c>
      <c r="N371" s="1">
        <f>$J$370</f>
        <v>28.799999999999997</v>
      </c>
      <c r="O371" s="1" t="s">
        <v>105</v>
      </c>
    </row>
    <row r="372">
      <c r="C372" s="1" t="s">
        <v>53</v>
      </c>
      <c r="D372" s="1">
        <f>D371/F371</f>
        <v>269.81373731287437</v>
      </c>
      <c r="E372" s="1" t="s">
        <v>397</v>
      </c>
      <c r="F372" s="1">
        <f>H371/J371</f>
        <v>112.58698684961446</v>
      </c>
      <c r="G372" s="1" t="s">
        <v>397</v>
      </c>
      <c r="H372" s="1">
        <f>L371/N371</f>
        <v>80.82911111011117</v>
      </c>
    </row>
    <row r="373" ht="15.75" customHeight="1">
      <c r="B373" s="1" t="s">
        <v>398</v>
      </c>
      <c r="C373" s="1" t="s">
        <v>53</v>
      </c>
      <c r="D373" s="1">
        <f>D372</f>
        <v>269.81373731287437</v>
      </c>
      <c r="E373" s="1" t="s">
        <v>148</v>
      </c>
      <c r="F373" s="1">
        <f>F372</f>
        <v>112.58698684961446</v>
      </c>
      <c r="G373" s="1" t="s">
        <v>148</v>
      </c>
      <c r="H373" s="1">
        <f>H372</f>
        <v>80.82911111011117</v>
      </c>
    </row>
    <row r="374" ht="14.25" customHeight="1">
      <c r="C374" s="1" t="s">
        <v>53</v>
      </c>
      <c r="D374" s="1">
        <f>D373+F373+H373</f>
        <v>463.2298352726</v>
      </c>
      <c r="E374" s="1" t="s">
        <v>280</v>
      </c>
    </row>
    <row r="375" ht="14.25" customHeight="1">
      <c r="D375" s="1" t="s">
        <v>414</v>
      </c>
    </row>
    <row r="376" ht="15.75" customHeight="1">
      <c r="B376" s="1" t="s">
        <v>400</v>
      </c>
      <c r="C376" s="1" t="s">
        <v>53</v>
      </c>
      <c r="D376" s="1">
        <f>D373</f>
        <v>269.81373731287437</v>
      </c>
      <c r="E376" s="1" t="s">
        <v>136</v>
      </c>
      <c r="F376" s="1">
        <f>F373</f>
        <v>112.58698684961446</v>
      </c>
      <c r="G376" s="1" t="s">
        <v>136</v>
      </c>
      <c r="H376" s="1">
        <f>H373</f>
        <v>80.82911111011117</v>
      </c>
    </row>
    <row r="377" ht="14.25" customHeight="1">
      <c r="C377" s="1" t="s">
        <v>53</v>
      </c>
      <c r="D377" s="1">
        <f>D376-F376-H376</f>
        <v>76.39763935314875</v>
      </c>
      <c r="E377" s="1" t="s">
        <v>280</v>
      </c>
    </row>
    <row r="378" ht="14.25" customHeight="1">
      <c r="D378" s="1" t="s">
        <v>415</v>
      </c>
    </row>
    <row r="379"/>
    <row r="380">
      <c r="B380" s="1" t="s">
        <v>402</v>
      </c>
      <c r="C380" s="1" t="s">
        <v>340</v>
      </c>
      <c r="D380" s="1">
        <f>D363</f>
        <v>3978.687435305391</v>
      </c>
      <c r="E380" s="1" t="s">
        <v>107</v>
      </c>
      <c r="F380" s="1">
        <f>$J$367</f>
        <v>14.399999999999999</v>
      </c>
      <c r="G380" s="1" t="s">
        <v>396</v>
      </c>
      <c r="H380" s="1">
        <f>$H$365</f>
        <v>324.2505221268897</v>
      </c>
      <c r="I380" s="1" t="s">
        <v>107</v>
      </c>
      <c r="J380" s="1">
        <f>$J$369</f>
        <v>2.8800000000000003</v>
      </c>
      <c r="K380" s="1" t="s">
        <v>396</v>
      </c>
      <c r="L380" s="1">
        <f>$H$366</f>
        <v>2327.8783999712014</v>
      </c>
      <c r="M380" s="1" t="s">
        <v>107</v>
      </c>
      <c r="N380" s="1">
        <f>$J$370</f>
        <v>28.799999999999997</v>
      </c>
      <c r="O380" s="1" t="s">
        <v>105</v>
      </c>
    </row>
    <row r="381">
      <c r="C381" s="1" t="s">
        <v>53</v>
      </c>
      <c r="D381" s="1">
        <f>D380/F380</f>
        <v>276.2977385628744</v>
      </c>
      <c r="E381" s="1" t="s">
        <v>397</v>
      </c>
      <c r="F381" s="1">
        <f>H380/J380</f>
        <v>112.58698684961446</v>
      </c>
      <c r="G381" s="1" t="s">
        <v>397</v>
      </c>
      <c r="H381" s="1">
        <f>L380/N380</f>
        <v>80.82911111011117</v>
      </c>
    </row>
    <row r="382" ht="15.75" customHeight="1">
      <c r="B382" s="1" t="s">
        <v>398</v>
      </c>
      <c r="C382" s="1" t="s">
        <v>53</v>
      </c>
      <c r="D382" s="1">
        <f>D381</f>
        <v>276.2977385628744</v>
      </c>
      <c r="E382" s="1" t="s">
        <v>148</v>
      </c>
      <c r="F382" s="1">
        <f>F381</f>
        <v>112.58698684961446</v>
      </c>
      <c r="G382" s="1" t="s">
        <v>148</v>
      </c>
      <c r="H382" s="1">
        <f>H381</f>
        <v>80.82911111011117</v>
      </c>
    </row>
    <row r="383" ht="14.25" customHeight="1">
      <c r="C383" s="1" t="s">
        <v>53</v>
      </c>
      <c r="D383" s="1">
        <f>D382+F382+H382</f>
        <v>469.7138365226</v>
      </c>
      <c r="E383" s="1" t="s">
        <v>280</v>
      </c>
    </row>
    <row r="384" ht="14.25" customHeight="1">
      <c r="D384" s="1" t="s">
        <v>414</v>
      </c>
    </row>
    <row r="385" ht="15.75" customHeight="1">
      <c r="B385" s="1" t="s">
        <v>400</v>
      </c>
      <c r="C385" s="1" t="s">
        <v>53</v>
      </c>
      <c r="D385" s="1">
        <f>D382</f>
        <v>276.2977385628744</v>
      </c>
      <c r="E385" s="1" t="s">
        <v>136</v>
      </c>
      <c r="F385" s="1">
        <f>F382</f>
        <v>112.58698684961446</v>
      </c>
      <c r="G385" s="1" t="s">
        <v>136</v>
      </c>
      <c r="H385" s="1">
        <f>H382</f>
        <v>80.82911111011117</v>
      </c>
    </row>
    <row r="386" ht="14.25" customHeight="1">
      <c r="C386" s="1" t="s">
        <v>53</v>
      </c>
      <c r="D386" s="1">
        <f>D385-F385-H385</f>
        <v>82.88164060314875</v>
      </c>
      <c r="E386" s="1" t="s">
        <v>280</v>
      </c>
    </row>
    <row r="387" ht="14.25" customHeight="1">
      <c r="D387" s="1" t="s">
        <v>415</v>
      </c>
    </row>
    <row r="388">
      <c r="B388" s="4" t="s">
        <f>CONCATENATE("CASE- 7 FOR IDLE CONDITION AT R. L.",E20+1," M")</f>
        <v>416</v>
      </c>
    </row>
    <row r="389" hidden="1"/>
    <row r="390">
      <c r="B390" s="1" t="s">
        <v>290</v>
      </c>
      <c r="C390" s="1" t="s">
        <v>53</v>
      </c>
      <c r="D390" s="1">
        <f>$D$259</f>
        <v>1463.6159999999998</v>
      </c>
      <c r="E390" s="1" t="s">
        <v>204</v>
      </c>
    </row>
    <row r="391">
      <c r="B391" s="1" t="s">
        <v>292</v>
      </c>
      <c r="C391" s="1" t="s">
        <v>53</v>
      </c>
      <c r="D391" s="1">
        <f>$D$360</f>
        <v>1726.8050880000017</v>
      </c>
      <c r="E391" s="1" t="s">
        <v>204</v>
      </c>
      <c r="F391" s="1" t="s">
        <v>381</v>
      </c>
    </row>
    <row r="392">
      <c r="B392" s="1" t="s">
        <v>292</v>
      </c>
      <c r="C392" s="1" t="s">
        <v>53</v>
      </c>
      <c r="D392" s="1">
        <f>$D$361</f>
        <v>1633.4354700000017</v>
      </c>
      <c r="E392" s="1" t="s">
        <v>204</v>
      </c>
      <c r="F392" s="1" t="s">
        <v>382</v>
      </c>
    </row>
    <row r="393">
      <c r="B393" s="1" t="s">
        <v>383</v>
      </c>
      <c r="C393" s="1" t="s">
        <v>53</v>
      </c>
      <c r="D393" s="1">
        <v>0</v>
      </c>
      <c r="E393" s="1" t="s">
        <v>204</v>
      </c>
    </row>
    <row r="394">
      <c r="B394" s="1" t="s">
        <v>384</v>
      </c>
      <c r="C394" s="1" t="s">
        <v>53</v>
      </c>
      <c r="D394" s="1">
        <f>D390+D391+D393</f>
        <v>3190.4210880000014</v>
      </c>
      <c r="E394" s="1" t="s">
        <v>204</v>
      </c>
    </row>
    <row r="395">
      <c r="B395" s="1" t="s">
        <v>385</v>
      </c>
      <c r="C395" s="1" t="s">
        <v>53</v>
      </c>
      <c r="D395" s="1">
        <f>D390+D392+D393</f>
        <v>3097.0514700000012</v>
      </c>
      <c r="E395" s="1" t="s">
        <v>204</v>
      </c>
    </row>
    <row r="396">
      <c r="B396" s="1" t="s">
        <v>395</v>
      </c>
      <c r="C396" s="1" t="s">
        <v>340</v>
      </c>
      <c r="D396" s="1">
        <f>D395</f>
        <v>3097.0514700000012</v>
      </c>
      <c r="E396" s="1" t="s">
        <v>107</v>
      </c>
      <c r="F396" s="1">
        <f>$J$367</f>
        <v>14.399999999999999</v>
      </c>
      <c r="G396" s="1" t="s">
        <v>396</v>
      </c>
      <c r="H396" s="1">
        <f>$J$113</f>
        <v>79.99720476162017</v>
      </c>
      <c r="I396" s="1" t="s">
        <v>107</v>
      </c>
      <c r="J396" s="1">
        <f>$J$369</f>
        <v>2.8800000000000003</v>
      </c>
      <c r="K396" s="1" t="s">
        <v>396</v>
      </c>
      <c r="L396" s="1">
        <f>$J$154</f>
        <v>79.99720476162017</v>
      </c>
      <c r="M396" s="1" t="s">
        <v>107</v>
      </c>
      <c r="N396" s="1">
        <f>$J$370</f>
        <v>28.799999999999997</v>
      </c>
      <c r="O396" s="1" t="s">
        <v>105</v>
      </c>
    </row>
    <row r="397">
      <c r="C397" s="1" t="s">
        <v>53</v>
      </c>
      <c r="D397" s="1">
        <f>D396/F396</f>
        <v>215.0730187500001</v>
      </c>
      <c r="E397" s="1" t="s">
        <v>397</v>
      </c>
      <c r="F397" s="1">
        <f>H396/J396</f>
        <v>27.77680720889589</v>
      </c>
      <c r="G397" s="1" t="s">
        <v>397</v>
      </c>
      <c r="H397" s="1">
        <f>L396/N396</f>
        <v>2.7776807208895895</v>
      </c>
    </row>
    <row r="398" ht="15.75" customHeight="1">
      <c r="B398" s="1" t="s">
        <v>398</v>
      </c>
      <c r="C398" s="1" t="s">
        <v>53</v>
      </c>
      <c r="D398" s="1">
        <f>D397</f>
        <v>215.0730187500001</v>
      </c>
      <c r="E398" s="1" t="s">
        <v>148</v>
      </c>
      <c r="F398" s="1">
        <f>F397</f>
        <v>27.77680720889589</v>
      </c>
      <c r="G398" s="1" t="s">
        <v>148</v>
      </c>
      <c r="H398" s="1">
        <f>H397</f>
        <v>2.7776807208895895</v>
      </c>
    </row>
    <row r="399" ht="14.25" customHeight="1">
      <c r="C399" s="1" t="s">
        <v>53</v>
      </c>
      <c r="D399" s="1">
        <f>D398+F398+H398</f>
        <v>245.62750667978557</v>
      </c>
      <c r="E399" s="1" t="s">
        <v>280</v>
      </c>
    </row>
    <row r="400" ht="14.25" customHeight="1">
      <c r="D400" s="1" t="s">
        <v>414</v>
      </c>
    </row>
    <row r="401" ht="15.75" customHeight="1">
      <c r="B401" s="1" t="s">
        <v>400</v>
      </c>
      <c r="C401" s="1" t="s">
        <v>53</v>
      </c>
      <c r="D401" s="1">
        <f>D398</f>
        <v>215.0730187500001</v>
      </c>
      <c r="E401" s="1" t="s">
        <v>136</v>
      </c>
      <c r="F401" s="1">
        <f>F398</f>
        <v>27.77680720889589</v>
      </c>
      <c r="G401" s="1" t="s">
        <v>136</v>
      </c>
      <c r="H401" s="1">
        <f>H398</f>
        <v>2.7776807208895895</v>
      </c>
    </row>
    <row r="402" ht="14.25" customHeight="1">
      <c r="C402" s="1" t="s">
        <v>53</v>
      </c>
      <c r="D402" s="1">
        <f>D401-F401-H401</f>
        <v>184.51853082021464</v>
      </c>
      <c r="E402" s="1" t="s">
        <v>280</v>
      </c>
    </row>
    <row r="403" ht="14.25" customHeight="1">
      <c r="D403" s="1" t="s">
        <v>415</v>
      </c>
    </row>
    <row r="404"/>
    <row r="405">
      <c r="B405" s="1" t="s">
        <v>402</v>
      </c>
      <c r="C405" s="1" t="s">
        <v>340</v>
      </c>
      <c r="D405" s="1">
        <f>D394</f>
        <v>3190.4210880000014</v>
      </c>
      <c r="E405" s="1" t="s">
        <v>107</v>
      </c>
      <c r="F405" s="1">
        <f>$J$367</f>
        <v>14.399999999999999</v>
      </c>
      <c r="G405" s="1" t="s">
        <v>396</v>
      </c>
      <c r="H405" s="1">
        <f>$J$113</f>
        <v>79.99720476162017</v>
      </c>
      <c r="I405" s="1" t="s">
        <v>107</v>
      </c>
      <c r="J405" s="1">
        <f>$J$369</f>
        <v>2.8800000000000003</v>
      </c>
      <c r="K405" s="1" t="s">
        <v>396</v>
      </c>
      <c r="L405" s="1">
        <f>$J$154</f>
        <v>79.99720476162017</v>
      </c>
      <c r="M405" s="1" t="s">
        <v>107</v>
      </c>
      <c r="N405" s="1">
        <f>$J$370</f>
        <v>28.799999999999997</v>
      </c>
      <c r="O405" s="1" t="s">
        <v>105</v>
      </c>
    </row>
    <row r="406">
      <c r="C406" s="1" t="s">
        <v>53</v>
      </c>
      <c r="D406" s="1">
        <f>D405/F405</f>
        <v>221.5570200000001</v>
      </c>
      <c r="E406" s="1" t="s">
        <v>397</v>
      </c>
      <c r="F406" s="1">
        <f>H405/J405</f>
        <v>27.77680720889589</v>
      </c>
      <c r="G406" s="1" t="s">
        <v>397</v>
      </c>
      <c r="H406" s="1">
        <f>L405/N405</f>
        <v>2.7776807208895895</v>
      </c>
    </row>
    <row r="407" ht="15.75" customHeight="1">
      <c r="B407" s="1" t="s">
        <v>398</v>
      </c>
      <c r="C407" s="1" t="s">
        <v>53</v>
      </c>
      <c r="D407" s="1">
        <f>D406</f>
        <v>221.5570200000001</v>
      </c>
      <c r="E407" s="1" t="s">
        <v>148</v>
      </c>
      <c r="F407" s="1">
        <f>F406</f>
        <v>27.77680720889589</v>
      </c>
      <c r="G407" s="1" t="s">
        <v>148</v>
      </c>
      <c r="H407" s="1">
        <f>H406</f>
        <v>2.7776807208895895</v>
      </c>
    </row>
    <row r="408" ht="14.25" customHeight="1">
      <c r="C408" s="1" t="s">
        <v>53</v>
      </c>
      <c r="D408" s="1">
        <f>D407+F407+H407</f>
        <v>252.11150792978557</v>
      </c>
      <c r="E408" s="1" t="s">
        <v>280</v>
      </c>
    </row>
    <row r="409" ht="14.25" customHeight="1">
      <c r="D409" s="1" t="s">
        <v>414</v>
      </c>
    </row>
    <row r="410" ht="15.75" customHeight="1">
      <c r="B410" s="1" t="s">
        <v>400</v>
      </c>
      <c r="C410" s="1" t="s">
        <v>53</v>
      </c>
      <c r="D410" s="1">
        <f>D407</f>
        <v>221.5570200000001</v>
      </c>
      <c r="E410" s="1" t="s">
        <v>136</v>
      </c>
      <c r="F410" s="1">
        <f>F407</f>
        <v>27.77680720889589</v>
      </c>
      <c r="G410" s="1" t="s">
        <v>136</v>
      </c>
      <c r="H410" s="1">
        <f>H407</f>
        <v>2.7776807208895895</v>
      </c>
    </row>
    <row r="411" ht="14.25" customHeight="1">
      <c r="C411" s="1" t="s">
        <v>53</v>
      </c>
      <c r="D411" s="1">
        <f>D410-F410-H410</f>
        <v>191.00253207021464</v>
      </c>
      <c r="E411" s="1" t="s">
        <v>280</v>
      </c>
    </row>
    <row r="412" ht="14.25" customHeight="1">
      <c r="D412" s="1" t="s">
        <v>415</v>
      </c>
    </row>
    <row r="413"/>
    <row r="414">
      <c r="B414" s="4" t="s">
        <f>CONCATENATE("CASE- 8 FOR WIND FORCE AT SERVICE CONDITION AT R. L.",E20+1," M")</f>
        <v>417</v>
      </c>
    </row>
    <row r="415" hidden="1"/>
    <row r="416">
      <c r="B416" s="1" t="s">
        <v>290</v>
      </c>
      <c r="C416" s="1" t="s">
        <v>53</v>
      </c>
      <c r="D416" s="1">
        <f>$D$259</f>
        <v>1463.6159999999998</v>
      </c>
      <c r="E416" s="1" t="s">
        <v>204</v>
      </c>
    </row>
    <row r="417">
      <c r="B417" s="1" t="s">
        <v>292</v>
      </c>
      <c r="C417" s="1" t="s">
        <v>53</v>
      </c>
      <c r="D417" s="1">
        <f>$D$360</f>
        <v>1726.8050880000017</v>
      </c>
      <c r="E417" s="1" t="s">
        <v>204</v>
      </c>
      <c r="F417" s="1" t="s">
        <v>381</v>
      </c>
    </row>
    <row r="418">
      <c r="B418" s="1" t="s">
        <v>292</v>
      </c>
      <c r="C418" s="1" t="s">
        <v>53</v>
      </c>
      <c r="D418" s="1">
        <f>$D$361</f>
        <v>1633.4354700000017</v>
      </c>
      <c r="E418" s="1" t="s">
        <v>204</v>
      </c>
      <c r="F418" s="1" t="s">
        <v>382</v>
      </c>
    </row>
    <row r="419">
      <c r="B419" s="1" t="s">
        <v>383</v>
      </c>
      <c r="C419" s="1" t="s">
        <v>53</v>
      </c>
      <c r="D419" s="1">
        <f>$D$262</f>
        <v>788.2663473053892</v>
      </c>
      <c r="E419" s="1" t="s">
        <v>204</v>
      </c>
    </row>
    <row r="420">
      <c r="B420" s="1" t="s">
        <v>384</v>
      </c>
      <c r="C420" s="1" t="s">
        <v>53</v>
      </c>
      <c r="D420" s="1">
        <f>D416+D417+D419</f>
        <v>3978.687435305391</v>
      </c>
      <c r="E420" s="1" t="s">
        <v>204</v>
      </c>
    </row>
    <row r="421">
      <c r="B421" s="1" t="s">
        <v>385</v>
      </c>
      <c r="C421" s="1" t="s">
        <v>53</v>
      </c>
      <c r="D421" s="1">
        <f>D416+D418+D419</f>
        <v>3885.3178173053902</v>
      </c>
      <c r="E421" s="1" t="s">
        <v>204</v>
      </c>
    </row>
    <row r="422">
      <c r="B422" s="1" t="s">
        <v>386</v>
      </c>
      <c r="C422" s="1" t="s">
        <v>53</v>
      </c>
      <c r="D422" s="1">
        <f>$J$113</f>
        <v>79.99720476162017</v>
      </c>
      <c r="E422" s="1" t="s">
        <v>148</v>
      </c>
      <c r="F422" s="1">
        <f>$H$66</f>
        <v>244.25331736526948</v>
      </c>
      <c r="I422" s="1" t="s">
        <v>53</v>
      </c>
      <c r="J422" s="1">
        <f>D422+F422</f>
        <v>324.2505221268897</v>
      </c>
      <c r="K422" s="1" t="s">
        <v>323</v>
      </c>
    </row>
    <row r="423">
      <c r="B423" s="1" t="s">
        <v>387</v>
      </c>
      <c r="C423" s="1" t="s">
        <v>53</v>
      </c>
      <c r="D423" s="1">
        <f>$J$154</f>
        <v>79.99720476162017</v>
      </c>
      <c r="E423" s="1" t="s">
        <v>148</v>
      </c>
      <c r="F423" s="1">
        <f>$L$192</f>
        <v>101.09433159466906</v>
      </c>
      <c r="G423" s="1" t="s">
        <v>148</v>
      </c>
      <c r="H423" s="1">
        <f>$H$71</f>
        <v>2247.881195209581</v>
      </c>
      <c r="I423" s="1" t="s">
        <v>53</v>
      </c>
      <c r="J423" s="1">
        <f>D423+F423+H423</f>
        <v>2428.97273156587</v>
      </c>
      <c r="K423" s="1" t="s">
        <v>323</v>
      </c>
    </row>
    <row r="424">
      <c r="B424" s="1" t="s">
        <v>395</v>
      </c>
      <c r="C424" s="1" t="s">
        <v>340</v>
      </c>
      <c r="D424" s="1">
        <f>D421</f>
        <v>3885.3178173053902</v>
      </c>
      <c r="E424" s="1" t="s">
        <v>107</v>
      </c>
      <c r="F424" s="1">
        <f>$J$367</f>
        <v>14.399999999999999</v>
      </c>
      <c r="G424" s="1" t="s">
        <v>396</v>
      </c>
      <c r="H424" s="1">
        <f>$J$422</f>
        <v>324.2505221268897</v>
      </c>
      <c r="I424" s="1" t="s">
        <v>107</v>
      </c>
      <c r="J424" s="1">
        <f>$J$369</f>
        <v>2.8800000000000003</v>
      </c>
      <c r="K424" s="1" t="s">
        <v>396</v>
      </c>
      <c r="L424" s="1">
        <f>$J$423</f>
        <v>2428.97273156587</v>
      </c>
      <c r="M424" s="1" t="s">
        <v>107</v>
      </c>
      <c r="N424" s="1">
        <f>$J$370</f>
        <v>28.799999999999997</v>
      </c>
      <c r="O424" s="1" t="s">
        <v>105</v>
      </c>
    </row>
    <row r="425">
      <c r="C425" s="1" t="s">
        <v>53</v>
      </c>
      <c r="D425" s="1">
        <f>D424/F424</f>
        <v>269.81373731287437</v>
      </c>
      <c r="E425" s="1" t="s">
        <v>397</v>
      </c>
      <c r="F425" s="1">
        <f>H424/J424</f>
        <v>112.58698684961446</v>
      </c>
      <c r="G425" s="1" t="s">
        <v>397</v>
      </c>
      <c r="H425" s="1">
        <f>L424/N424</f>
        <v>84.33933095714828</v>
      </c>
    </row>
    <row r="426" ht="15.75" customHeight="1">
      <c r="B426" s="1" t="s">
        <v>398</v>
      </c>
      <c r="C426" s="1" t="s">
        <v>53</v>
      </c>
      <c r="D426" s="1">
        <f>D425</f>
        <v>269.81373731287437</v>
      </c>
      <c r="E426" s="1" t="s">
        <v>148</v>
      </c>
      <c r="F426" s="1">
        <f>F425</f>
        <v>112.58698684961446</v>
      </c>
      <c r="G426" s="1" t="s">
        <v>148</v>
      </c>
      <c r="H426" s="1">
        <f>H425</f>
        <v>84.33933095714828</v>
      </c>
    </row>
    <row r="427" ht="14.25" customHeight="1">
      <c r="C427" s="1" t="s">
        <v>53</v>
      </c>
      <c r="D427" s="1">
        <f>D426+F426+H426</f>
        <v>466.7400551196371</v>
      </c>
      <c r="E427" s="1" t="s">
        <v>280</v>
      </c>
    </row>
    <row r="428" ht="14.25" customHeight="1">
      <c r="D428" s="1" t="s">
        <v>414</v>
      </c>
    </row>
    <row r="429" ht="15.75" customHeight="1">
      <c r="B429" s="1" t="s">
        <v>400</v>
      </c>
      <c r="C429" s="1" t="s">
        <v>53</v>
      </c>
      <c r="D429" s="1">
        <f>D426</f>
        <v>269.81373731287437</v>
      </c>
      <c r="E429" s="1" t="s">
        <v>136</v>
      </c>
      <c r="F429" s="1">
        <f>F426</f>
        <v>112.58698684961446</v>
      </c>
      <c r="G429" s="1" t="s">
        <v>136</v>
      </c>
      <c r="H429" s="1">
        <f>H426</f>
        <v>84.33933095714828</v>
      </c>
    </row>
    <row r="430" ht="14.25" customHeight="1">
      <c r="C430" s="1" t="s">
        <v>53</v>
      </c>
      <c r="D430" s="1">
        <f>D429-F429-H429</f>
        <v>72.88741950611164</v>
      </c>
      <c r="E430" s="1" t="s">
        <v>280</v>
      </c>
    </row>
    <row r="431" ht="14.25" customHeight="1">
      <c r="D431" s="1" t="s">
        <v>415</v>
      </c>
    </row>
    <row r="432"/>
    <row r="433">
      <c r="B433" s="1" t="s">
        <v>402</v>
      </c>
      <c r="C433" s="1" t="s">
        <v>340</v>
      </c>
      <c r="D433" s="1">
        <f>D420</f>
        <v>3978.687435305391</v>
      </c>
      <c r="E433" s="1" t="s">
        <v>107</v>
      </c>
      <c r="F433" s="1">
        <f>$J$367</f>
        <v>14.399999999999999</v>
      </c>
      <c r="G433" s="1" t="s">
        <v>396</v>
      </c>
      <c r="H433" s="1">
        <f>$J$422</f>
        <v>324.2505221268897</v>
      </c>
      <c r="I433" s="1" t="s">
        <v>107</v>
      </c>
      <c r="J433" s="1">
        <f>$J$369</f>
        <v>2.8800000000000003</v>
      </c>
      <c r="K433" s="1" t="s">
        <v>396</v>
      </c>
      <c r="L433" s="1">
        <f>$J$423</f>
        <v>2428.97273156587</v>
      </c>
      <c r="M433" s="1" t="s">
        <v>107</v>
      </c>
      <c r="N433" s="1">
        <f>$J$370</f>
        <v>28.799999999999997</v>
      </c>
      <c r="O433" s="1" t="s">
        <v>105</v>
      </c>
    </row>
    <row r="434">
      <c r="C434" s="1" t="s">
        <v>53</v>
      </c>
      <c r="D434" s="1">
        <f>D433/F433</f>
        <v>276.2977385628744</v>
      </c>
      <c r="E434" s="1" t="s">
        <v>397</v>
      </c>
      <c r="F434" s="1">
        <f>H433/J433</f>
        <v>112.58698684961446</v>
      </c>
      <c r="G434" s="1" t="s">
        <v>397</v>
      </c>
      <c r="H434" s="1">
        <f>L433/N433</f>
        <v>84.33933095714828</v>
      </c>
    </row>
    <row r="435" ht="15.75" customHeight="1">
      <c r="B435" s="1" t="s">
        <v>398</v>
      </c>
      <c r="C435" s="1" t="s">
        <v>53</v>
      </c>
      <c r="D435" s="1">
        <f>D434</f>
        <v>276.2977385628744</v>
      </c>
      <c r="E435" s="1" t="s">
        <v>148</v>
      </c>
      <c r="F435" s="1">
        <f>F434</f>
        <v>112.58698684961446</v>
      </c>
      <c r="G435" s="1" t="s">
        <v>148</v>
      </c>
      <c r="H435" s="1">
        <f>H434</f>
        <v>84.33933095714828</v>
      </c>
    </row>
    <row r="436" ht="14.25" customHeight="1">
      <c r="C436" s="1" t="s">
        <v>53</v>
      </c>
      <c r="D436" s="1">
        <f>D435+F435+H435</f>
        <v>473.2240563696371</v>
      </c>
      <c r="E436" s="1" t="s">
        <v>280</v>
      </c>
    </row>
    <row r="437" ht="14.25" customHeight="1">
      <c r="D437" s="1" t="s">
        <v>414</v>
      </c>
    </row>
    <row r="438" ht="15.75" customHeight="1">
      <c r="B438" s="1" t="s">
        <v>400</v>
      </c>
      <c r="C438" s="1" t="s">
        <v>53</v>
      </c>
      <c r="D438" s="1">
        <f>D435</f>
        <v>276.2977385628744</v>
      </c>
      <c r="E438" s="1" t="s">
        <v>136</v>
      </c>
      <c r="F438" s="1">
        <f>F435</f>
        <v>112.58698684961446</v>
      </c>
      <c r="G438" s="1" t="s">
        <v>136</v>
      </c>
      <c r="H438" s="1">
        <f>H435</f>
        <v>84.33933095714828</v>
      </c>
    </row>
    <row r="439" ht="14.25" customHeight="1">
      <c r="C439" s="1" t="s">
        <v>53</v>
      </c>
      <c r="D439" s="1">
        <f>D438-F438-H438</f>
        <v>79.37142075611165</v>
      </c>
      <c r="E439" s="1" t="s">
        <v>280</v>
      </c>
    </row>
    <row r="440" ht="14.25" customHeight="1">
      <c r="D440" s="1" t="s">
        <v>415</v>
      </c>
    </row>
    <row r="441"/>
    <row r="442">
      <c r="B442" s="4" t="s">
        <f>CONCATENATE("CASE- 9 FOR WIND FORCE AT IDLE CONDITION AT R. L.",E20+1," M")</f>
        <v>418</v>
      </c>
    </row>
    <row r="443" hidden="1"/>
    <row r="444">
      <c r="B444" s="1" t="s">
        <v>290</v>
      </c>
      <c r="C444" s="1" t="s">
        <v>53</v>
      </c>
      <c r="D444" s="1">
        <f>$D$259</f>
        <v>1463.6159999999998</v>
      </c>
      <c r="E444" s="1" t="s">
        <v>204</v>
      </c>
    </row>
    <row r="445">
      <c r="B445" s="1" t="s">
        <v>292</v>
      </c>
      <c r="C445" s="1" t="s">
        <v>53</v>
      </c>
      <c r="D445" s="1">
        <f>$D$360</f>
        <v>1726.8050880000017</v>
      </c>
      <c r="E445" s="1" t="s">
        <v>204</v>
      </c>
      <c r="F445" s="1" t="s">
        <v>381</v>
      </c>
    </row>
    <row r="446">
      <c r="B446" s="1" t="s">
        <v>292</v>
      </c>
      <c r="C446" s="1" t="s">
        <v>53</v>
      </c>
      <c r="D446" s="1">
        <f>$D$361</f>
        <v>1633.4354700000017</v>
      </c>
      <c r="E446" s="1" t="s">
        <v>204</v>
      </c>
      <c r="F446" s="1" t="s">
        <v>382</v>
      </c>
    </row>
    <row r="447">
      <c r="B447" s="1" t="s">
        <v>383</v>
      </c>
      <c r="C447" s="1" t="s">
        <v>53</v>
      </c>
      <c r="D447" s="1">
        <f>$D$262</f>
        <v>788.2663473053892</v>
      </c>
      <c r="E447" s="1" t="s">
        <v>204</v>
      </c>
    </row>
    <row r="448">
      <c r="B448" s="1" t="s">
        <v>384</v>
      </c>
      <c r="C448" s="1" t="s">
        <v>53</v>
      </c>
      <c r="D448" s="1">
        <f>D444+D445+D447</f>
        <v>3978.687435305391</v>
      </c>
      <c r="E448" s="1" t="s">
        <v>204</v>
      </c>
    </row>
    <row r="449">
      <c r="B449" s="1" t="s">
        <v>385</v>
      </c>
      <c r="C449" s="1" t="s">
        <v>53</v>
      </c>
      <c r="D449" s="1">
        <f>D444+D446+D447</f>
        <v>3885.3178173053902</v>
      </c>
      <c r="E449" s="1" t="s">
        <v>204</v>
      </c>
    </row>
    <row r="450">
      <c r="B450" s="1" t="s">
        <v>386</v>
      </c>
      <c r="C450" s="1" t="s">
        <v>53</v>
      </c>
      <c r="D450" s="1">
        <f>$J$113</f>
        <v>79.99720476162017</v>
      </c>
      <c r="E450" s="1" t="s">
        <v>323</v>
      </c>
    </row>
    <row r="451">
      <c r="B451" s="1" t="s">
        <v>387</v>
      </c>
      <c r="C451" s="1" t="s">
        <v>53</v>
      </c>
      <c r="D451" s="1">
        <f>$J$154</f>
        <v>79.99720476162017</v>
      </c>
      <c r="E451" s="1" t="s">
        <v>148</v>
      </c>
      <c r="F451" s="1">
        <f>$L$192</f>
        <v>101.09433159466906</v>
      </c>
      <c r="G451" s="1" t="s">
        <v>53</v>
      </c>
      <c r="H451" s="1">
        <f>D451+F451</f>
        <v>181.09153635628923</v>
      </c>
      <c r="I451" s="1" t="s">
        <v>323</v>
      </c>
    </row>
    <row r="452">
      <c r="B452" s="1" t="s">
        <v>395</v>
      </c>
      <c r="C452" s="1" t="s">
        <v>340</v>
      </c>
      <c r="D452" s="1">
        <f>D449</f>
        <v>3885.3178173053902</v>
      </c>
      <c r="E452" s="1" t="s">
        <v>107</v>
      </c>
      <c r="F452" s="1">
        <f>$J$367</f>
        <v>14.399999999999999</v>
      </c>
      <c r="G452" s="1" t="s">
        <v>396</v>
      </c>
      <c r="H452" s="1">
        <f>$J$113</f>
        <v>79.99720476162017</v>
      </c>
      <c r="I452" s="1" t="s">
        <v>107</v>
      </c>
      <c r="J452" s="1">
        <f>$J$369</f>
        <v>2.8800000000000003</v>
      </c>
      <c r="K452" s="1" t="s">
        <v>396</v>
      </c>
      <c r="L452" s="1">
        <f>H451</f>
        <v>181.09153635628923</v>
      </c>
      <c r="M452" s="1" t="s">
        <v>107</v>
      </c>
      <c r="N452" s="1">
        <f>$J$370</f>
        <v>28.799999999999997</v>
      </c>
      <c r="O452" s="1" t="s">
        <v>105</v>
      </c>
    </row>
    <row r="453">
      <c r="C453" s="1" t="s">
        <v>53</v>
      </c>
      <c r="D453" s="1">
        <f>D452/F452</f>
        <v>269.81373731287437</v>
      </c>
      <c r="E453" s="1" t="s">
        <v>397</v>
      </c>
      <c r="F453" s="1">
        <f>H452/J452</f>
        <v>27.77680720889589</v>
      </c>
      <c r="G453" s="1" t="s">
        <v>397</v>
      </c>
      <c r="H453" s="1">
        <f>L452/N452</f>
        <v>6.28790056792671</v>
      </c>
    </row>
    <row r="454" ht="15.75" customHeight="1">
      <c r="B454" s="1" t="s">
        <v>398</v>
      </c>
      <c r="C454" s="1" t="s">
        <v>53</v>
      </c>
      <c r="D454" s="1">
        <f>D453</f>
        <v>269.81373731287437</v>
      </c>
      <c r="E454" s="1" t="s">
        <v>148</v>
      </c>
      <c r="F454" s="1">
        <f>F453</f>
        <v>27.77680720889589</v>
      </c>
      <c r="G454" s="1" t="s">
        <v>148</v>
      </c>
      <c r="H454" s="1">
        <f>H453</f>
        <v>6.28790056792671</v>
      </c>
    </row>
    <row r="455" ht="14.25" customHeight="1">
      <c r="C455" s="1" t="s">
        <v>53</v>
      </c>
      <c r="D455" s="1">
        <f>D454+F454+H454</f>
        <v>303.878445089697</v>
      </c>
      <c r="E455" s="1" t="s">
        <v>280</v>
      </c>
    </row>
    <row r="456" ht="14.25" customHeight="1">
      <c r="D456" s="1" t="s">
        <v>414</v>
      </c>
    </row>
    <row r="457" ht="15.75" customHeight="1">
      <c r="B457" s="1" t="s">
        <v>400</v>
      </c>
      <c r="C457" s="1" t="s">
        <v>53</v>
      </c>
      <c r="D457" s="1">
        <f>D454</f>
        <v>269.81373731287437</v>
      </c>
      <c r="E457" s="1" t="s">
        <v>136</v>
      </c>
      <c r="F457" s="1">
        <f>F454</f>
        <v>27.77680720889589</v>
      </c>
      <c r="G457" s="1" t="s">
        <v>136</v>
      </c>
      <c r="H457" s="1">
        <f>H454</f>
        <v>6.28790056792671</v>
      </c>
    </row>
    <row r="458" ht="14.25" customHeight="1">
      <c r="C458" s="1" t="s">
        <v>53</v>
      </c>
      <c r="D458" s="1">
        <f>D457-F457-H457</f>
        <v>235.74902953605178</v>
      </c>
      <c r="E458" s="1" t="s">
        <v>280</v>
      </c>
    </row>
    <row r="459" ht="14.25" customHeight="1">
      <c r="D459" s="1" t="s">
        <v>415</v>
      </c>
    </row>
    <row r="460"/>
    <row r="461">
      <c r="B461" s="1" t="s">
        <v>402</v>
      </c>
      <c r="C461" s="1" t="s">
        <v>340</v>
      </c>
      <c r="D461" s="1">
        <f>D448</f>
        <v>3978.687435305391</v>
      </c>
      <c r="E461" s="1" t="s">
        <v>107</v>
      </c>
      <c r="F461" s="1">
        <f>$J$367</f>
        <v>14.399999999999999</v>
      </c>
      <c r="G461" s="1" t="s">
        <v>396</v>
      </c>
      <c r="H461" s="1">
        <f>$J$113</f>
        <v>79.99720476162017</v>
      </c>
      <c r="I461" s="1" t="s">
        <v>107</v>
      </c>
      <c r="J461" s="1">
        <f>$J$369</f>
        <v>2.8800000000000003</v>
      </c>
      <c r="K461" s="1" t="s">
        <v>396</v>
      </c>
      <c r="L461" s="1">
        <f>H451</f>
        <v>181.09153635628923</v>
      </c>
      <c r="M461" s="1" t="s">
        <v>107</v>
      </c>
      <c r="N461" s="1">
        <f>$J$370</f>
        <v>28.799999999999997</v>
      </c>
      <c r="O461" s="1" t="s">
        <v>105</v>
      </c>
    </row>
    <row r="462">
      <c r="C462" s="1" t="s">
        <v>53</v>
      </c>
      <c r="D462" s="1">
        <f>D461/F461</f>
        <v>276.2977385628744</v>
      </c>
      <c r="E462" s="1" t="s">
        <v>397</v>
      </c>
      <c r="F462" s="1">
        <f>H461/J461</f>
        <v>27.77680720889589</v>
      </c>
      <c r="G462" s="1" t="s">
        <v>397</v>
      </c>
      <c r="H462" s="1">
        <f>L461/N461</f>
        <v>6.28790056792671</v>
      </c>
    </row>
    <row r="463" ht="15.75" customHeight="1">
      <c r="B463" s="1" t="s">
        <v>398</v>
      </c>
      <c r="C463" s="1" t="s">
        <v>53</v>
      </c>
      <c r="D463" s="1">
        <f>D462</f>
        <v>276.2977385628744</v>
      </c>
      <c r="E463" s="1" t="s">
        <v>148</v>
      </c>
      <c r="F463" s="1">
        <f>F462</f>
        <v>27.77680720889589</v>
      </c>
      <c r="G463" s="1" t="s">
        <v>148</v>
      </c>
      <c r="H463" s="1">
        <f>H462</f>
        <v>6.28790056792671</v>
      </c>
    </row>
    <row r="464" ht="14.25" customHeight="1">
      <c r="C464" s="1" t="s">
        <v>53</v>
      </c>
      <c r="D464" s="1">
        <f>D463+F463+H463</f>
        <v>310.362446339697</v>
      </c>
      <c r="E464" s="1" t="s">
        <v>280</v>
      </c>
    </row>
    <row r="465" ht="14.25" customHeight="1">
      <c r="D465" s="1" t="s">
        <v>414</v>
      </c>
    </row>
    <row r="466" ht="15.75" customHeight="1">
      <c r="B466" s="1" t="s">
        <v>400</v>
      </c>
      <c r="C466" s="1" t="s">
        <v>53</v>
      </c>
      <c r="D466" s="1">
        <f>D463</f>
        <v>276.2977385628744</v>
      </c>
      <c r="E466" s="1" t="s">
        <v>136</v>
      </c>
      <c r="F466" s="1">
        <f>F463</f>
        <v>27.77680720889589</v>
      </c>
      <c r="G466" s="1" t="s">
        <v>136</v>
      </c>
      <c r="H466" s="1">
        <f>H463</f>
        <v>6.28790056792671</v>
      </c>
    </row>
    <row r="467" ht="14.25" customHeight="1">
      <c r="C467" s="1" t="s">
        <v>53</v>
      </c>
      <c r="D467" s="1">
        <f>D466-F466-H466</f>
        <v>242.23303078605178</v>
      </c>
      <c r="E467" s="1" t="s">
        <v>280</v>
      </c>
    </row>
    <row r="468" ht="14.25" customHeight="1">
      <c r="D468" s="1" t="s">
        <v>415</v>
      </c>
    </row>
  </sheetData>
  <mergeCells count="10">
    <mergeCell ref="A1:Q1"/>
    <mergeCell ref="K352:M352"/>
    <mergeCell ref="B160:H160"/>
    <mergeCell ref="B197:H197"/>
    <mergeCell ref="L52:M52"/>
    <mergeCell ref="K305:M305"/>
    <mergeCell ref="K338:M338"/>
    <mergeCell ref="K317:M317"/>
    <mergeCell ref="B78:Q78"/>
    <mergeCell ref="A2:Q2"/>
  </mergeCells>
  <pageMargins left="0.75" right="0.75" top="1" bottom="1" header="0.5" footer="0.5"/>
  <ignoredErrors>
    <ignoredError numberStoredAsText="1" sqref="A1:AJ468"/>
  </ignoredErrors>
</worksheet>
</file>

<file path=xl/worksheets/sheet10.xml><?xml version="1.0" encoding="utf-8"?>
<worksheet xmlns="http://schemas.openxmlformats.org/spreadsheetml/2006/main" xmlns:r="http://schemas.openxmlformats.org/officeDocument/2006/relationships">
  <dimension ref="A1:P16"/>
  <sheetViews>
    <sheetView workbookViewId="0" rightToLeft="0"/>
  </sheetViews>
  <cols>
    <col min="3" max="3" customWidth="1" width="10"/>
    <col min="7" max="7" customWidth="1" width="9.42578125"/>
    <col min="9" max="9" customWidth="1" width="9.7109375"/>
    <col min="10" max="10" customWidth="1" width="9.7109375"/>
    <col min="11" max="11" customWidth="1" width="9.7109375"/>
    <col min="12" max="12" customWidth="1" width="9.7109375"/>
    <col min="13" max="13" customWidth="1" width="9.7109375"/>
    <col min="14" max="14" customWidth="1" width="9.7109375"/>
  </cols>
  <sheetData>
    <row r="1">
      <c r="A1" t="s">
        <v>419</v>
      </c>
    </row>
    <row r="2">
      <c r="A2" t="s">
        <f>'afflux calculation'!A2:H2</f>
        <v>48</v>
      </c>
    </row>
    <row r="3">
      <c r="A3" s="4" t="s">
        <f>'STABILITY CHECK FOR PIER'!B198</f>
        <v>379</v>
      </c>
      <c r="I3" s="1">
        <f>'STABILITY CHECK FOR PIER'!D216</f>
        <v>137.4414363273386</v>
      </c>
      <c r="J3" s="1">
        <f>'STABILITY CHECK FOR PIER'!D219</f>
        <v>60.96723987026628</v>
      </c>
      <c r="K3" s="1">
        <f>'STABILITY CHECK FOR PIER'!D225</f>
        <v>137.48901566944386</v>
      </c>
      <c r="L3" s="1">
        <f>'STABILITY CHECK FOR PIER'!D228</f>
        <v>73.01481921237155</v>
      </c>
    </row>
    <row r="4">
      <c r="A4" s="4" t="s">
        <f>'STABILITY CHECK FOR PIER'!B231</f>
        <v>403</v>
      </c>
      <c r="I4" s="1">
        <f>'STABILITY CHECK FOR PIER'!D242</f>
        <v>87.04954866084331</v>
      </c>
      <c r="J4" s="1">
        <f>'STABILITY CHECK FOR PIER'!D245</f>
        <v>76.78604212863046</v>
      </c>
      <c r="K4" s="1">
        <f>'STABILITY CHECK FOR PIER'!D251</f>
        <v>99.09712800294858</v>
      </c>
      <c r="L4" s="1">
        <f>'STABILITY CHECK FOR PIER'!D254</f>
        <v>88.83362147073572</v>
      </c>
    </row>
    <row r="5">
      <c r="A5" s="4" t="s">
        <f>'STABILITY CHECK FOR PIER'!B257</f>
        <v>406</v>
      </c>
      <c r="I5" s="1">
        <f>'STABILITY CHECK FOR PIER'!$D270</f>
        <v>138.6135170084087</v>
      </c>
      <c r="J5" s="1">
        <f>'STABILITY CHECK FOR PIER'!$D273</f>
        <v>59.79515918919617</v>
      </c>
      <c r="K5" s="1">
        <f>'STABILITY CHECK FOR PIER'!$D279</f>
        <v>138.66109635051396</v>
      </c>
      <c r="L5" s="1">
        <f>'STABILITY CHECK FOR PIER'!$D282</f>
        <v>71.84273853130144</v>
      </c>
    </row>
    <row r="6">
      <c r="A6" s="4" t="s">
        <f>'STABILITY CHECK FOR PIER'!B285</f>
        <v>407</v>
      </c>
      <c r="I6" s="1">
        <f>'STABILITY CHECK FOR PIER'!$D298</f>
        <v>88.22162934191343</v>
      </c>
      <c r="J6" s="1">
        <f>'STABILITY CHECK FOR PIER'!$D301</f>
        <v>75.61396144756034</v>
      </c>
      <c r="K6" s="1">
        <f>'STABILITY CHECK FOR PIER'!$D304</f>
        <v>83.40902969987391</v>
      </c>
      <c r="L6" s="1">
        <f>'STABILITY CHECK FOR PIER'!$D307</f>
        <v>80.42656108959986</v>
      </c>
      <c r="M6" s="1">
        <f>'STABILITY CHECK FOR PIER'!$D312</f>
        <v>100.2692086840187</v>
      </c>
      <c r="N6" s="1">
        <f>'STABILITY CHECK FOR PIER'!$D315</f>
        <v>87.66154078966561</v>
      </c>
    </row>
    <row r="7">
      <c r="A7" s="4" t="s">
        <f>'STABILITY CHECK FOR PIER'!B319</f>
        <v>412</v>
      </c>
      <c r="I7" s="1">
        <f>'STABILITY CHECK FOR PIER'!$D332</f>
        <v>72.17320828928186</v>
      </c>
      <c r="J7" s="1">
        <f>'STABILITY CHECK FOR PIER'!$D335</f>
        <v>59.565540394928775</v>
      </c>
      <c r="K7" s="1">
        <f>'STABILITY CHECK FOR PIER'!$D337</f>
        <v>67.36060864724234</v>
      </c>
      <c r="L7" s="1">
        <f>'STABILITY CHECK FOR PIER'!$D340</f>
        <v>64.37814003696829</v>
      </c>
      <c r="M7" s="1">
        <f>'STABILITY CHECK FOR PIER'!$D345</f>
        <v>77.91695368421057</v>
      </c>
      <c r="N7" s="1">
        <f>'STABILITY CHECK FOR PIER'!$D349</f>
        <v>74.01941955805378</v>
      </c>
    </row>
    <row r="8"/>
    <row r="9">
      <c r="C9" t="s">
        <v>420</v>
      </c>
      <c r="D9" s="1">
        <f>MAX(I3:N7)</f>
        <v>138.66109635051396</v>
      </c>
      <c r="F9" s="1">
        <f>MIN(I3:N7)</f>
        <v>59.565540394928775</v>
      </c>
      <c r="G9" t="s">
        <v>421</v>
      </c>
    </row>
    <row r="10"/>
    <row r="11">
      <c r="A11" s="4" t="s">
        <f>'STABILITY CHECK FOR PIER'!B356</f>
        <v>413</v>
      </c>
      <c r="I11" s="1">
        <f>'STABILITY CHECK FOR PIER'!$D374</f>
        <v>463.2298352726</v>
      </c>
      <c r="J11" s="1">
        <f>'STABILITY CHECK FOR PIER'!$D377</f>
        <v>76.39763935314875</v>
      </c>
      <c r="K11" s="1">
        <f>'STABILITY CHECK FOR PIER'!$D383</f>
        <v>469.7138365226</v>
      </c>
      <c r="L11" s="1">
        <f>'STABILITY CHECK FOR PIER'!$D386</f>
        <v>82.88164060314875</v>
      </c>
    </row>
    <row r="12">
      <c r="A12" s="4" t="s">
        <f>'STABILITY CHECK FOR PIER'!B388</f>
        <v>416</v>
      </c>
      <c r="I12" s="1">
        <f>'STABILITY CHECK FOR PIER'!$D399</f>
        <v>245.62750667978557</v>
      </c>
      <c r="J12" s="1">
        <f>'STABILITY CHECK FOR PIER'!$D402</f>
        <v>184.51853082021464</v>
      </c>
      <c r="K12" s="1">
        <f>'STABILITY CHECK FOR PIER'!$D408</f>
        <v>252.11150792978557</v>
      </c>
      <c r="L12" s="1">
        <f>'STABILITY CHECK FOR PIER'!$D411</f>
        <v>191.00253207021464</v>
      </c>
    </row>
    <row r="13">
      <c r="A13" s="4" t="s">
        <f>'STABILITY CHECK FOR PIER'!B414</f>
        <v>417</v>
      </c>
      <c r="I13" s="1">
        <f>'STABILITY CHECK FOR PIER'!$D427</f>
        <v>466.7400551196371</v>
      </c>
      <c r="J13" s="1">
        <f>'STABILITY CHECK FOR PIER'!$D430</f>
        <v>72.88741950611164</v>
      </c>
      <c r="K13" s="1">
        <f>'STABILITY CHECK FOR PIER'!$D436</f>
        <v>473.2240563696371</v>
      </c>
      <c r="L13" s="1">
        <f>'STABILITY CHECK FOR PIER'!$D439</f>
        <v>79.37142075611165</v>
      </c>
    </row>
    <row r="14">
      <c r="A14" s="4" t="s">
        <f>'STABILITY CHECK FOR PIER'!B442</f>
        <v>418</v>
      </c>
      <c r="I14" s="1">
        <f>'STABILITY CHECK FOR PIER'!$D455</f>
        <v>303.878445089697</v>
      </c>
      <c r="J14" s="1">
        <f>'STABILITY CHECK FOR PIER'!$D458</f>
        <v>235.74902953605178</v>
      </c>
      <c r="K14" s="1">
        <f>'STABILITY CHECK FOR PIER'!$D464</f>
        <v>310.362446339697</v>
      </c>
      <c r="L14" s="1">
        <f>'STABILITY CHECK FOR PIER'!$D467</f>
        <v>242.23303078605178</v>
      </c>
    </row>
    <row r="15"/>
    <row r="16">
      <c r="C16" t="s">
        <v>420</v>
      </c>
      <c r="D16" s="1">
        <f>MAX(I11:N14)</f>
        <v>473.2240563696371</v>
      </c>
      <c r="F16" s="1">
        <f>MIN(I11:N14)</f>
        <v>72.88741950611164</v>
      </c>
      <c r="G16" t="s">
        <v>421</v>
      </c>
    </row>
  </sheetData>
  <mergeCells count="2">
    <mergeCell ref="A1:N1"/>
    <mergeCell ref="A2:N2"/>
  </mergeCells>
  <pageMargins left="0.75" right="0.75" top="1" bottom="1" header="0.5" footer="0.5"/>
  <ignoredErrors>
    <ignoredError numberStoredAsText="1" sqref="A1:P16"/>
  </ignoredErrors>
</worksheet>
</file>

<file path=xl/worksheets/sheet11.xml><?xml version="1.0" encoding="utf-8"?>
<worksheet xmlns="http://schemas.openxmlformats.org/spreadsheetml/2006/main" xmlns:r="http://schemas.openxmlformats.org/officeDocument/2006/relationships">
  <dimension ref="A1:U173"/>
  <sheetViews>
    <sheetView workbookViewId="0" rightToLeft="0"/>
  </sheetViews>
  <cols>
    <col min="1" max="1" customWidth="1" width="6.7109375"/>
    <col min="2" max="2" customWidth="1" width="34.42578125"/>
    <col min="3" max="3" customWidth="1" width="15.5703125"/>
    <col min="4" max="4" customWidth="1" width="10"/>
    <col min="5" max="5" customWidth="1" width="12.5703125"/>
    <col min="6" max="6" customWidth="1" width="8.28515625"/>
    <col min="7" max="7" customWidth="1" width="7"/>
    <col min="8" max="8" customWidth="1" width="9.42578125"/>
    <col min="9" max="9" customWidth="1" width="5"/>
    <col min="10" max="10" customWidth="1" width="7.5703125"/>
    <col min="11" max="11" customWidth="1" width="2.5703125"/>
    <col min="12" max="12" customWidth="1" width="7.7109375"/>
    <col min="13" max="13" customWidth="1" width="2.85546875"/>
    <col min="14" max="14" customWidth="1" width="7.5703125"/>
    <col min="15" max="15" customWidth="1" width="2.85546875"/>
  </cols>
  <sheetData>
    <row r="1">
      <c r="A1" t="s">
        <v>422</v>
      </c>
    </row>
    <row r="2" ht="22.5" customHeight="1">
      <c r="A2" s="4" t="s">
        <f>'STABILITY CHECK FOR PIER'!A2:Q2</f>
        <v>48</v>
      </c>
    </row>
    <row r="3">
      <c r="B3" t="s">
        <v>423</v>
      </c>
      <c r="C3" s="1">
        <f>'STABILITY CHECK FOR PIER'!E20+'STABILITY CHECK FOR PIER'!J52</f>
        <v>92.96999999999998</v>
      </c>
      <c r="D3" t="s">
        <v>424</v>
      </c>
      <c r="E3" s="1">
        <f>C3+0.6</f>
        <v>93.56999999999998</v>
      </c>
      <c r="F3" t="s">
        <v>92</v>
      </c>
    </row>
    <row r="4">
      <c r="A4" t="s">
        <v>425</v>
      </c>
    </row>
    <row r="5">
      <c r="B5" t="s">
        <v>380</v>
      </c>
    </row>
    <row r="6">
      <c r="B6" s="1" t="s">
        <f>'STABILITY CHECK FOR PIER'!B201</f>
        <v>290</v>
      </c>
      <c r="C6" s="1" t="s">
        <f>'STABILITY CHECK FOR PIER'!C201</f>
        <v>53</v>
      </c>
      <c r="D6" s="1">
        <f>'STABILITY CHECK FOR PIER'!D359</f>
        <v>1463.6159999999998</v>
      </c>
      <c r="E6" s="1" t="s">
        <f>'STABILITY CHECK FOR PIER'!E201</f>
        <v>204</v>
      </c>
    </row>
    <row r="7">
      <c r="B7" s="1" t="s">
        <f>'STABILITY CHECK FOR PIER'!B202</f>
        <v>292</v>
      </c>
      <c r="C7" s="1" t="s">
        <f>'STABILITY CHECK FOR PIER'!C202</f>
        <v>53</v>
      </c>
      <c r="D7" s="1">
        <f>'STABILITY CHECK FOR PIER'!D360</f>
        <v>1726.8050880000017</v>
      </c>
      <c r="E7" s="1" t="s">
        <f>'STABILITY CHECK FOR PIER'!E202</f>
        <v>204</v>
      </c>
      <c r="F7" s="1" t="s">
        <f>'STABILITY CHECK FOR PIER'!F202</f>
        <v>381</v>
      </c>
    </row>
    <row r="8">
      <c r="B8" s="1" t="s">
        <f>'STABILITY CHECK FOR PIER'!B203</f>
        <v>292</v>
      </c>
      <c r="C8" s="1" t="s">
        <f>'STABILITY CHECK FOR PIER'!C203</f>
        <v>53</v>
      </c>
      <c r="D8" s="1">
        <f>'STABILITY CHECK FOR PIER'!D361</f>
        <v>1633.4354700000017</v>
      </c>
      <c r="E8" s="1" t="s">
        <f>'STABILITY CHECK FOR PIER'!E203</f>
        <v>204</v>
      </c>
      <c r="F8" s="1" t="s">
        <f>'STABILITY CHECK FOR PIER'!F203</f>
        <v>382</v>
      </c>
    </row>
    <row r="9">
      <c r="B9" s="1" t="s">
        <f>'STABILITY CHECK FOR PIER'!B204</f>
        <v>383</v>
      </c>
      <c r="C9" s="1" t="s">
        <f>'STABILITY CHECK FOR PIER'!C204</f>
        <v>53</v>
      </c>
      <c r="D9" s="1">
        <f>'STABILITY CHECK FOR PIER'!D362</f>
        <v>788.2663473053892</v>
      </c>
      <c r="E9" s="1" t="s">
        <f>'STABILITY CHECK FOR PIER'!E204</f>
        <v>204</v>
      </c>
    </row>
    <row r="10">
      <c r="B10" s="1" t="s">
        <f>'STABILITY CHECK FOR PIER'!B205</f>
        <v>384</v>
      </c>
      <c r="C10" s="1" t="s">
        <f>'STABILITY CHECK FOR PIER'!C205</f>
        <v>53</v>
      </c>
      <c r="D10" s="1">
        <f>'STABILITY CHECK FOR PIER'!D363</f>
        <v>3978.687435305391</v>
      </c>
      <c r="E10" s="1" t="s">
        <f>'STABILITY CHECK FOR PIER'!E205</f>
        <v>204</v>
      </c>
    </row>
    <row r="11">
      <c r="B11" s="1" t="s">
        <f>'STABILITY CHECK FOR PIER'!B206</f>
        <v>385</v>
      </c>
      <c r="C11" s="1" t="s">
        <f>'STABILITY CHECK FOR PIER'!C206</f>
        <v>53</v>
      </c>
      <c r="D11" s="1">
        <f>'STABILITY CHECK FOR PIER'!D364</f>
        <v>3885.3178173053902</v>
      </c>
      <c r="E11" s="1" t="s">
        <f>'STABILITY CHECK FOR PIER'!E206</f>
        <v>204</v>
      </c>
    </row>
    <row r="12">
      <c r="B12" s="1" t="s">
        <f>'STABILITY CHECK FOR PIER'!B422</f>
        <v>386</v>
      </c>
    </row>
    <row r="13">
      <c r="B13" s="1" t="s">
        <v>346</v>
      </c>
      <c r="C13" s="1">
        <f>C15</f>
        <v>92.96999999999998</v>
      </c>
      <c r="D13" s="1" t="s">
        <f>D15</f>
        <v>347</v>
      </c>
      <c r="E13" s="1">
        <f>'STABILITY CHECK FOR PIER'!$J$422</f>
        <v>324.2505221268897</v>
      </c>
      <c r="F13" s="1" t="s">
        <f>'STABILITY CHECK FOR PIER'!K115</f>
        <v>323</v>
      </c>
    </row>
    <row r="14">
      <c r="B14" s="1" t="s">
        <f>'STABILITY CHECK FOR PIER'!B423</f>
        <v>387</v>
      </c>
    </row>
    <row r="15">
      <c r="B15" s="1" t="s">
        <v>346</v>
      </c>
      <c r="C15" s="1">
        <f>'STABILITY CHECK FOR PIER'!D155</f>
        <v>92.96999999999998</v>
      </c>
      <c r="D15" s="1" t="s">
        <f>'STABILITY CHECK FOR PIER'!E155</f>
        <v>347</v>
      </c>
      <c r="E15" s="1">
        <f>'STABILITY CHECK FOR PIER'!$J$423</f>
        <v>2428.97273156587</v>
      </c>
      <c r="F15" s="1" t="s">
        <f>'STABILITY CHECK FOR PIER'!K156</f>
        <v>323</v>
      </c>
    </row>
    <row r="16">
      <c r="B16" t="s">
        <f>[1]TROUGH!A21</f>
        <v>426</v>
      </c>
      <c r="D16" t="s">
        <v>427</v>
      </c>
    </row>
    <row r="17">
      <c r="B17" t="s">
        <f>[1]TROUGH!A22</f>
        <v>428</v>
      </c>
      <c r="F17">
        <f>[1]TROUGH!F22</f>
        <v>415</v>
      </c>
      <c r="G17" t="s">
        <f>[1]TROUGH!G22</f>
        <v>232</v>
      </c>
    </row>
    <row r="18">
      <c r="B18" t="s">
        <f>[1]TROUGH!A23</f>
        <v>429</v>
      </c>
    </row>
    <row r="19">
      <c r="B19" t="s">
        <f>[1]TROUGH!B24</f>
        <v>430</v>
      </c>
      <c r="D19">
        <v>190</v>
      </c>
    </row>
    <row r="20">
      <c r="B20" t="s">
        <f>[1]TROUGH!B31</f>
        <v>431</v>
      </c>
    </row>
    <row r="21" ht="25.5" customHeight="1">
      <c r="B21" t="s">
        <v>432</v>
      </c>
      <c r="D21" t="s">
        <v>433</v>
      </c>
      <c r="E21" s="1" t="s">
        <v>53</v>
      </c>
      <c r="F21">
        <v>30</v>
      </c>
      <c r="G21" t="s">
        <v>232</v>
      </c>
    </row>
    <row r="22" ht="25.5" customHeight="1">
      <c r="B22" t="s">
        <f>[1]TROUGH!B32</f>
        <v>434</v>
      </c>
      <c r="D22" t="s">
        <f>[1]TROUGH!C32</f>
        <v>435</v>
      </c>
      <c r="E22" s="1" t="s">
        <f>[1]TROUGH!D32</f>
        <v>53</v>
      </c>
      <c r="F22">
        <v>8</v>
      </c>
      <c r="G22" t="s">
        <f>[1]TROUGH!F32</f>
        <v>232</v>
      </c>
    </row>
    <row r="23" ht="25.5" customHeight="1">
      <c r="B23" t="s">
        <f>[1]TROUGH!B33</f>
        <v>436</v>
      </c>
      <c r="D23" t="s">
        <f>[1]TROUGH!C33</f>
        <v>437</v>
      </c>
      <c r="E23" s="1" t="s">
        <f>[1]TROUGH!D33</f>
        <v>53</v>
      </c>
      <c r="F23">
        <f>[1]TROUGH!E33</f>
        <v>8</v>
      </c>
      <c r="G23" t="s">
        <f>[1]TROUGH!F33</f>
        <v>232</v>
      </c>
    </row>
    <row r="24">
      <c r="D24" t="s">
        <f>[1]TROUGH!C34</f>
        <v>438</v>
      </c>
      <c r="E24" s="1" t="s">
        <f>[1]TROUGH!D34</f>
        <v>53</v>
      </c>
      <c r="F24">
        <f>[1]TROUGH!E34</f>
        <v>3.6</v>
      </c>
      <c r="G24" t="s">
        <f>[1]TROUGH!F34</f>
        <v>232</v>
      </c>
    </row>
    <row r="25" ht="15.75" customHeight="1">
      <c r="B25" t="s">
        <v>439</v>
      </c>
      <c r="C25" t="s">
        <v>53</v>
      </c>
      <c r="D25">
        <v>1.5</v>
      </c>
      <c r="E25" s="1" t="s">
        <v>440</v>
      </c>
      <c r="F25" s="1">
        <f>D10</f>
        <v>3978.687435305391</v>
      </c>
      <c r="G25" t="s">
        <v>53</v>
      </c>
      <c r="H25">
        <f>D25*F25</f>
        <v>5968.031152958087</v>
      </c>
      <c r="I25" t="s">
        <v>204</v>
      </c>
    </row>
    <row r="26" ht="15.75" customHeight="1">
      <c r="B26" t="s">
        <v>441</v>
      </c>
      <c r="C26" t="s">
        <v>53</v>
      </c>
      <c r="D26">
        <v>1.5</v>
      </c>
      <c r="E26" s="1" t="s">
        <v>440</v>
      </c>
      <c r="F26" s="1">
        <f>E13</f>
        <v>324.2505221268897</v>
      </c>
      <c r="G26" t="s">
        <v>53</v>
      </c>
      <c r="H26">
        <f>D26*F26</f>
        <v>486.3757831903345</v>
      </c>
      <c r="I26" t="s">
        <v>323</v>
      </c>
    </row>
    <row r="27" ht="15.75" customHeight="1">
      <c r="B27" t="s">
        <v>442</v>
      </c>
      <c r="C27" t="s">
        <v>53</v>
      </c>
      <c r="D27">
        <v>1.5</v>
      </c>
      <c r="E27" s="1" t="s">
        <v>440</v>
      </c>
      <c r="F27" s="1">
        <f>E15</f>
        <v>2428.97273156587</v>
      </c>
      <c r="G27" t="s">
        <v>53</v>
      </c>
      <c r="H27">
        <f>D27*F27</f>
        <v>3643.4590973488052</v>
      </c>
      <c r="I27" t="s">
        <v>323</v>
      </c>
    </row>
    <row r="28">
      <c r="B28" t="s">
        <v>443</v>
      </c>
      <c r="F28">
        <v>33.33</v>
      </c>
      <c r="G28" t="s">
        <v>271</v>
      </c>
    </row>
    <row r="29">
      <c r="B29" t="s">
        <v>444</v>
      </c>
    </row>
    <row r="30">
      <c r="C30" s="4">
        <f>'STEEL IN PIER'!C30+(2*'STABILITY CHECK FOR PIER'!M63)</f>
        <v>12001.2</v>
      </c>
      <c r="D30" t="s">
        <v>445</v>
      </c>
      <c r="E30" s="4">
        <f>'STEEL IN PIER'!E30++(2*'STABILITY CHECK FOR PIER'!M63)</f>
        <v>1201.2</v>
      </c>
      <c r="F30" t="s">
        <v>230</v>
      </c>
    </row>
    <row r="31">
      <c r="C31" t="s">
        <v>446</v>
      </c>
      <c r="D31">
        <v>75</v>
      </c>
    </row>
    <row r="32" ht="14.25" customHeight="1">
      <c r="B32" t="s">
        <v>447</v>
      </c>
      <c r="C32" t="s">
        <v>53</v>
      </c>
      <c r="D32">
        <f>D31+C51/2</f>
        <v>87.5</v>
      </c>
      <c r="E32" t="s">
        <v>107</v>
      </c>
      <c r="F32">
        <f>E30</f>
        <v>1201.2</v>
      </c>
      <c r="G32" t="s">
        <v>53</v>
      </c>
      <c r="H32" s="8">
        <f>D32/F32</f>
        <v>0.07284382284382285</v>
      </c>
    </row>
    <row r="33" ht="15.75" customHeight="1">
      <c r="B33" t="s">
        <v>448</v>
      </c>
      <c r="C33" t="s">
        <v>53</v>
      </c>
      <c r="D33" s="1">
        <f>H25</f>
        <v>5968.031152958087</v>
      </c>
      <c r="E33" t="s">
        <v>91</v>
      </c>
      <c r="F33">
        <v>1000</v>
      </c>
      <c r="G33" t="s">
        <v>449</v>
      </c>
      <c r="H33">
        <f>$F$21</f>
        <v>30</v>
      </c>
      <c r="I33" t="s">
        <v>91</v>
      </c>
      <c r="J33">
        <f>$C$30</f>
        <v>12001.2</v>
      </c>
      <c r="K33" t="s">
        <v>199</v>
      </c>
      <c r="L33">
        <f>$E$30</f>
        <v>1201.2</v>
      </c>
      <c r="M33" t="s">
        <v>105</v>
      </c>
    </row>
    <row r="34">
      <c r="C34" t="s">
        <v>53</v>
      </c>
      <c r="D34" s="8">
        <f>D33*F33/(H33*J33*L33)</f>
        <v>0.013799705871714247</v>
      </c>
    </row>
    <row r="35">
      <c r="B35" t="s">
        <v>450</v>
      </c>
    </row>
    <row r="36" ht="15.75" customHeight="1">
      <c r="B36" t="s">
        <v>451</v>
      </c>
      <c r="C36" t="s">
        <v>53</v>
      </c>
      <c r="D36" s="1">
        <f>H26</f>
        <v>486.3757831903345</v>
      </c>
      <c r="E36" t="s">
        <f>E33</f>
        <v>91</v>
      </c>
      <c r="F36">
        <f>$F$33*1000</f>
        <v>1000000</v>
      </c>
      <c r="G36" t="s">
        <v>449</v>
      </c>
      <c r="H36">
        <f>$F$21</f>
        <v>30</v>
      </c>
      <c r="I36" t="s">
        <v>91</v>
      </c>
      <c r="J36">
        <f>$C$30</f>
        <v>12001.2</v>
      </c>
      <c r="K36" t="s">
        <v>199</v>
      </c>
      <c r="L36">
        <f>$E$30</f>
        <v>1201.2</v>
      </c>
      <c r="M36" t="s">
        <v>452</v>
      </c>
    </row>
    <row r="37">
      <c r="C37" t="s">
        <v>53</v>
      </c>
      <c r="D37" s="8">
        <f>D36*F36/(H36*J36*L36^2)</f>
        <v>0.0009362576257965044</v>
      </c>
    </row>
    <row r="38" ht="31.5" customHeight="1">
      <c r="B38" t="s">
        <v>453</v>
      </c>
    </row>
    <row r="39" ht="12.75" customHeight="1">
      <c r="B39" t="s">
        <v>454</v>
      </c>
    </row>
    <row r="40">
      <c r="B40" t="s">
        <v>455</v>
      </c>
    </row>
    <row r="42">
      <c r="B42" t="s">
        <v>456</v>
      </c>
      <c r="D42" s="1">
        <f>$D$11</f>
        <v>3885.3178173053902</v>
      </c>
      <c r="E42" s="1" t="s">
        <f>E33</f>
        <v>91</v>
      </c>
      <c r="F42" s="4">
        <f>F33</f>
        <v>1000</v>
      </c>
      <c r="G42" t="s">
        <v>107</v>
      </c>
      <c r="H42">
        <f>$F$22</f>
        <v>8</v>
      </c>
    </row>
    <row r="43" ht="14.25" customHeight="1">
      <c r="C43" t="s">
        <v>53</v>
      </c>
      <c r="D43" s="4">
        <f>D42*F42/H42</f>
        <v>485664.7271631738</v>
      </c>
      <c r="E43" t="s">
        <v>457</v>
      </c>
    </row>
    <row r="44">
      <c r="B44" t="s">
        <v>458</v>
      </c>
      <c r="C44">
        <f>0.8</f>
        <v>0.8</v>
      </c>
      <c r="D44" t="s">
        <v>91</v>
      </c>
      <c r="E44" s="4">
        <f>D43</f>
        <v>485664.7271631738</v>
      </c>
      <c r="F44" t="s">
        <v>107</v>
      </c>
      <c r="G44">
        <v>100</v>
      </c>
    </row>
    <row r="45" ht="14.25" customHeight="1">
      <c r="C45" t="s">
        <v>53</v>
      </c>
      <c r="D45" s="4">
        <f>C44*E44/100</f>
        <v>3885.3178173053907</v>
      </c>
      <c r="E45" t="s">
        <v>457</v>
      </c>
    </row>
    <row r="47">
      <c r="B47" t="s">
        <v>459</v>
      </c>
    </row>
    <row r="48">
      <c r="B48" t="s">
        <v>460</v>
      </c>
      <c r="C48">
        <v>0.3</v>
      </c>
      <c r="D48" t="s">
        <v>91</v>
      </c>
      <c r="E48">
        <f>$C$30</f>
        <v>12001.2</v>
      </c>
      <c r="F48" t="s">
        <v>199</v>
      </c>
      <c r="G48">
        <f>$E$30</f>
        <v>1201.2</v>
      </c>
      <c r="H48" t="s">
        <v>107</v>
      </c>
      <c r="I48">
        <v>100</v>
      </c>
    </row>
    <row r="49" ht="14.25" customHeight="1">
      <c r="C49" t="s">
        <v>53</v>
      </c>
      <c r="D49" s="4">
        <f>C48*E48*G48/100</f>
        <v>43247.52432</v>
      </c>
      <c r="E49" t="s">
        <v>457</v>
      </c>
    </row>
    <row r="50" ht="14.25" customHeight="1">
      <c r="B50" t="s">
        <v>461</v>
      </c>
      <c r="C50" t="s">
        <v>53</v>
      </c>
      <c r="D50" s="4">
        <f>D49</f>
        <v>43247.52432</v>
      </c>
      <c r="E50" t="s">
        <v>457</v>
      </c>
    </row>
    <row r="51">
      <c r="B51" t="s">
        <v>462</v>
      </c>
      <c r="C51">
        <v>25</v>
      </c>
      <c r="D51" t="s">
        <v>463</v>
      </c>
      <c r="E51" t="s">
        <v>53</v>
      </c>
      <c r="F51" s="4">
        <f>D50/(0.785*C51^2)</f>
        <v>88.14782027006369</v>
      </c>
      <c r="G51" t="s">
        <v>238</v>
      </c>
    </row>
    <row r="52">
      <c r="B52" t="s">
        <v>464</v>
      </c>
      <c r="C52" t="s">
        <v>53</v>
      </c>
      <c r="D52" s="4">
        <f>ROUNDDOWN((2*(E48+G48)/F51),-1)</f>
        <v>290</v>
      </c>
      <c r="E52" t="s">
        <v>465</v>
      </c>
    </row>
    <row r="53">
      <c r="B53" t="s">
        <v>466</v>
      </c>
    </row>
    <row r="55" ht="15.75" customHeight="1">
      <c r="B55" t="s">
        <v>451</v>
      </c>
      <c r="C55" t="s">
        <v>53</v>
      </c>
      <c r="D55" s="1">
        <f>H27</f>
        <v>3643.4590973488052</v>
      </c>
      <c r="E55" t="s">
        <f>E36</f>
        <v>91</v>
      </c>
      <c r="F55">
        <f>$F$33*1000</f>
        <v>1000000</v>
      </c>
      <c r="G55" t="s">
        <f>G36</f>
        <v>449</v>
      </c>
      <c r="H55">
        <f>$F$21</f>
        <v>30</v>
      </c>
      <c r="I55" t="s">
        <f>I36</f>
        <v>91</v>
      </c>
    </row>
    <row r="56" ht="14.25" customHeight="1">
      <c r="E56">
        <f>$C$30</f>
        <v>12001.2</v>
      </c>
      <c r="F56" t="s">
        <v>199</v>
      </c>
      <c r="G56">
        <f>$E$30</f>
        <v>1201.2</v>
      </c>
      <c r="H56" t="s">
        <v>452</v>
      </c>
    </row>
    <row r="57">
      <c r="C57" t="s">
        <v>53</v>
      </c>
      <c r="D57" s="8">
        <f>D55*F55/(H55*E56*G56^2)</f>
        <v>0.00701354072728483</v>
      </c>
    </row>
    <row r="58" ht="32.25" customHeight="1">
      <c r="B58" t="s">
        <v>453</v>
      </c>
    </row>
    <row r="59">
      <c r="B59" t="s">
        <v>467</v>
      </c>
    </row>
    <row r="60">
      <c r="B60" t="s">
        <v>468</v>
      </c>
    </row>
    <row r="61">
      <c r="C61" s="1">
        <f>E15</f>
        <v>2428.97273156587</v>
      </c>
      <c r="D61" s="4" t="s">
        <v>107</v>
      </c>
      <c r="E61" s="1">
        <f>102+1.2+0.925/2-91.79</f>
        <v>11.872500000000002</v>
      </c>
      <c r="F61" s="2" t="s">
        <v>53</v>
      </c>
      <c r="G61" s="1">
        <f>C61/E61</f>
        <v>204.58814331993005</v>
      </c>
      <c r="H61" t="s">
        <v>204</v>
      </c>
    </row>
    <row r="62">
      <c r="A62" t="s">
        <v>469</v>
      </c>
    </row>
    <row r="63">
      <c r="B63" t="s">
        <v>470</v>
      </c>
      <c r="C63" s="1">
        <f>G61</f>
        <v>204.58814331993005</v>
      </c>
      <c r="D63" s="1" t="s">
        <v>91</v>
      </c>
      <c r="E63">
        <v>1000</v>
      </c>
      <c r="F63" s="1" t="s">
        <v>449</v>
      </c>
      <c r="G63">
        <f>E56</f>
        <v>12001.2</v>
      </c>
      <c r="H63" s="1" t="s">
        <v>91</v>
      </c>
      <c r="I63">
        <f>G56</f>
        <v>1201.2</v>
      </c>
      <c r="J63" t="s">
        <v>105</v>
      </c>
    </row>
    <row r="64" ht="14.25" customHeight="1">
      <c r="C64" t="s">
        <v>53</v>
      </c>
      <c r="D64" s="1">
        <f>C63*E63/(G63*I63)</f>
        <v>0.014191897446392144</v>
      </c>
      <c r="E64" t="s">
        <v>232</v>
      </c>
    </row>
    <row r="65">
      <c r="B65" t="s">
        <v>471</v>
      </c>
      <c r="C65" s="1">
        <f>F51*0.785*C51^2/(E56*G56)*100</f>
        <v>0.3</v>
      </c>
    </row>
    <row r="66" ht="14.25" customHeight="1">
      <c r="B66" t="s">
        <v>472</v>
      </c>
      <c r="C66" s="1">
        <v>0.4</v>
      </c>
      <c r="D66" t="s">
        <v>232</v>
      </c>
      <c r="E66" t="s">
        <v>473</v>
      </c>
    </row>
    <row r="67">
      <c r="B67" t="s">
        <v>474</v>
      </c>
    </row>
    <row r="68">
      <c r="B68" t="s">
        <v>475</v>
      </c>
    </row>
    <row r="69" ht="14.25" customHeight="1">
      <c r="B69" t="s">
        <v>476</v>
      </c>
      <c r="C69" t="s">
        <v>53</v>
      </c>
      <c r="D69" s="4">
        <f>C51</f>
        <v>25</v>
      </c>
      <c r="E69" t="s">
        <v>107</v>
      </c>
      <c r="F69">
        <v>4</v>
      </c>
      <c r="G69" t="s">
        <v>53</v>
      </c>
      <c r="H69">
        <f>D69/F69</f>
        <v>6.25</v>
      </c>
      <c r="I69" t="s">
        <v>230</v>
      </c>
    </row>
    <row r="70">
      <c r="B70" t="s">
        <v>477</v>
      </c>
      <c r="C70">
        <v>12</v>
      </c>
      <c r="D70" s="8" t="s">
        <v>478</v>
      </c>
    </row>
    <row r="71">
      <c r="B71" t="s">
        <v>479</v>
      </c>
    </row>
    <row r="72">
      <c r="B72" t="s">
        <v>480</v>
      </c>
      <c r="C72">
        <f>I63</f>
        <v>1201.2</v>
      </c>
      <c r="D72" t="s">
        <v>230</v>
      </c>
    </row>
    <row r="73">
      <c r="B73" t="s">
        <v>481</v>
      </c>
      <c r="C73">
        <v>12</v>
      </c>
      <c r="D73" s="1" t="s">
        <v>91</v>
      </c>
      <c r="E73" s="4">
        <f>C70</f>
        <v>12</v>
      </c>
      <c r="F73" s="1" t="s">
        <v>53</v>
      </c>
      <c r="G73" s="4">
        <f>C73*E73</f>
        <v>144</v>
      </c>
      <c r="H73" s="4" t="s">
        <v>230</v>
      </c>
    </row>
    <row r="74">
      <c r="B74" t="s">
        <v>482</v>
      </c>
      <c r="C74">
        <v>300</v>
      </c>
      <c r="D74" s="8" t="s">
        <v>230</v>
      </c>
    </row>
    <row r="75">
      <c r="B75" t="s">
        <v>483</v>
      </c>
      <c r="C75" t="s">
        <v>484</v>
      </c>
      <c r="D75" s="4">
        <v>100</v>
      </c>
      <c r="E75" s="1" t="s">
        <v>230</v>
      </c>
    </row>
    <row r="76" ht="14.25" customHeight="1">
      <c r="B76" t="s">
        <v>477</v>
      </c>
      <c r="C76">
        <f>C70</f>
        <v>12</v>
      </c>
      <c r="D76" s="8" t="s">
        <v>485</v>
      </c>
      <c r="F76" s="4">
        <v>100</v>
      </c>
      <c r="G76" t="s">
        <v>486</v>
      </c>
    </row>
    <row r="77">
      <c r="B77" s="4" t="s">
        <v>487</v>
      </c>
    </row>
    <row r="78">
      <c r="B78" s="4" t="s">
        <v>488</v>
      </c>
    </row>
    <row r="79">
      <c r="B79" s="4" t="s">
        <v>489</v>
      </c>
      <c r="D79" s="4" t="s">
        <v>490</v>
      </c>
    </row>
    <row r="80">
      <c r="C80" s="1" t="s">
        <v>491</v>
      </c>
    </row>
    <row r="81">
      <c r="B81" s="1" t="s">
        <v>64</v>
      </c>
      <c r="C81" s="1" t="s">
        <v>53</v>
      </c>
      <c r="D81" s="1">
        <f>F76</f>
        <v>100</v>
      </c>
      <c r="E81" s="1" t="s">
        <v>230</v>
      </c>
    </row>
    <row r="82" ht="14.25" customHeight="1">
      <c r="B82" s="1" t="s">
        <v>116</v>
      </c>
      <c r="C82" s="1" t="s">
        <v>53</v>
      </c>
      <c r="D82" s="1">
        <v>300</v>
      </c>
      <c r="E82" s="1" t="s">
        <v>232</v>
      </c>
      <c r="F82" s="1" t="s">
        <v>492</v>
      </c>
    </row>
    <row r="83" ht="14.25" customHeight="1">
      <c r="B83" s="1" t="s">
        <v>493</v>
      </c>
      <c r="C83" s="1" t="s">
        <v>53</v>
      </c>
      <c r="D83" s="1">
        <v>30</v>
      </c>
      <c r="E83" s="1" t="s">
        <v>232</v>
      </c>
      <c r="H83" s="4" t="s">
        <v>494</v>
      </c>
    </row>
    <row r="84" ht="14.25" customHeight="1">
      <c r="B84" s="1" t="s">
        <v>495</v>
      </c>
      <c r="C84" s="1" t="s">
        <v>53</v>
      </c>
      <c r="D84" s="1">
        <v>415</v>
      </c>
      <c r="E84" s="1" t="s">
        <v>232</v>
      </c>
    </row>
    <row r="85" ht="14.25" customHeight="1">
      <c r="B85" s="1" t="s">
        <v>496</v>
      </c>
      <c r="C85" s="1" t="s">
        <v>53</v>
      </c>
      <c r="D85" s="1">
        <f>G48*1</f>
        <v>1201.2</v>
      </c>
      <c r="E85" s="1" t="s">
        <v>457</v>
      </c>
      <c r="F85" s="1" t="s">
        <v>497</v>
      </c>
    </row>
    <row r="86" ht="14.25" customHeight="1">
      <c r="B86" s="1" t="s">
        <v>498</v>
      </c>
      <c r="C86" s="1" t="s">
        <v>53</v>
      </c>
      <c r="D86" s="1">
        <f>D85-2*(75-C51/2-C76)</f>
        <v>1100.2</v>
      </c>
      <c r="E86" s="1" t="s">
        <v>457</v>
      </c>
      <c r="F86" s="1" t="s">
        <v>499</v>
      </c>
    </row>
    <row r="87" ht="14.25" customHeight="1">
      <c r="B87" s="1" t="s">
        <v>500</v>
      </c>
      <c r="C87" s="1" t="s">
        <v>53</v>
      </c>
      <c r="D87" s="1">
        <f>0.18*D81*D82*(D83/D84)*(D85/D86-1)</f>
        <v>35.83576261052205</v>
      </c>
      <c r="E87" s="1" t="s">
        <v>457</v>
      </c>
    </row>
    <row r="88" ht="14.25" customHeight="1">
      <c r="B88" s="1" t="s">
        <v>501</v>
      </c>
      <c r="C88" s="1" t="s">
        <v>53</v>
      </c>
      <c r="D88" s="1">
        <f>0.785*C76^2</f>
        <v>113.04</v>
      </c>
      <c r="E88" s="1" t="s">
        <v>457</v>
      </c>
      <c r="F88" s="1" t="s">
        <v>502</v>
      </c>
    </row>
    <row r="89">
      <c r="B89" t="s">
        <v>483</v>
      </c>
      <c r="C89" t="s">
        <v>484</v>
      </c>
      <c r="D89" s="4">
        <v>100</v>
      </c>
      <c r="E89" s="1" t="s">
        <v>230</v>
      </c>
    </row>
    <row r="90" ht="14.25" customHeight="1">
      <c r="B90" t="s">
        <v>477</v>
      </c>
      <c r="C90">
        <f>C70</f>
        <v>12</v>
      </c>
      <c r="D90" s="8" t="s">
        <v>485</v>
      </c>
      <c r="F90" s="4">
        <v>100</v>
      </c>
      <c r="G90" t="s">
        <v>486</v>
      </c>
    </row>
    <row r="91">
      <c r="B91" s="4" t="s">
        <v>487</v>
      </c>
    </row>
    <row r="92">
      <c r="B92" s="4" t="s">
        <v>503</v>
      </c>
    </row>
    <row r="93">
      <c r="B93" t="s">
        <v>504</v>
      </c>
    </row>
    <row r="94">
      <c r="B94" t="s">
        <v>505</v>
      </c>
      <c r="C94" s="4">
        <f>C51</f>
        <v>25</v>
      </c>
      <c r="D94" s="4" t="s">
        <v>463</v>
      </c>
      <c r="E94" s="4">
        <f>D52</f>
        <v>290</v>
      </c>
      <c r="F94" s="4" t="s">
        <v>465</v>
      </c>
      <c r="G94" t="s">
        <v>506</v>
      </c>
    </row>
    <row r="95">
      <c r="B95" t="s">
        <v>467</v>
      </c>
      <c r="C95" t="s">
        <f>CONCATENATE("   ",C90,D90,F90,G90)</f>
        <v>507</v>
      </c>
    </row>
    <row r="96"/>
    <row r="97"/>
    <row r="100"/>
    <row r="101"/>
    <row r="102"/>
    <row r="104"/>
    <row r="105"/>
    <row r="108"/>
    <row r="109" ht="14.25" customHeight="1"/>
    <row r="110"/>
    <row r="111"/>
    <row r="112"/>
    <row r="113"/>
    <row r="114"/>
    <row r="115"/>
    <row r="116"/>
    <row r="117" ht="14.25" customHeight="1"/>
    <row r="118"/>
    <row r="119"/>
    <row r="156"/>
    <row r="157"/>
    <row r="158"/>
    <row r="159"/>
    <row r="160"/>
    <row r="161"/>
    <row r="162"/>
    <row r="163"/>
    <row r="164"/>
    <row r="165"/>
    <row r="166"/>
    <row r="167"/>
    <row r="168"/>
    <row r="169"/>
    <row r="170"/>
    <row r="171"/>
    <row r="172"/>
    <row r="173"/>
  </sheetData>
  <mergeCells count="6">
    <mergeCell ref="B67:D67"/>
    <mergeCell ref="B39:L39"/>
    <mergeCell ref="B38:L38"/>
    <mergeCell ref="B58:L58"/>
    <mergeCell ref="A1:O1"/>
    <mergeCell ref="A2:O2"/>
  </mergeCells>
  <pageMargins left="0.75" right="0.75" top="1" bottom="1" header="0.5" footer="0.5"/>
  <ignoredErrors>
    <ignoredError numberStoredAsText="1" sqref="A1:U173"/>
  </ignoredErrors>
</worksheet>
</file>

<file path=xl/worksheets/sheet12.xml><?xml version="1.0" encoding="utf-8"?>
<worksheet xmlns="http://schemas.openxmlformats.org/spreadsheetml/2006/main" xmlns:r="http://schemas.openxmlformats.org/officeDocument/2006/relationships">
  <dimension ref="A1:U170"/>
  <sheetViews>
    <sheetView workbookViewId="0" rightToLeft="0"/>
  </sheetViews>
  <cols>
    <col min="1" max="1" customWidth="1" width="6.7109375"/>
    <col min="2" max="2" customWidth="1" width="34.42578125"/>
    <col min="3" max="3" customWidth="1" width="15.5703125"/>
    <col min="4" max="4" customWidth="1" width="11.85546875"/>
    <col min="5" max="5" customWidth="1" width="12.5703125"/>
    <col min="6" max="6" customWidth="1" width="8.28515625"/>
    <col min="7" max="7" customWidth="1" width="7"/>
    <col min="8" max="8" customWidth="1" width="9.42578125"/>
    <col min="9" max="9" customWidth="1" width="5"/>
    <col min="10" max="10" customWidth="1" width="6.5703125"/>
    <col min="11" max="11" customWidth="1" width="2.5703125"/>
    <col min="12" max="12" customWidth="1" width="7.5703125"/>
    <col min="13" max="13" customWidth="1" width="2.85546875"/>
    <col min="14" max="14" customWidth="1" width="7.5703125"/>
    <col min="15" max="15" customWidth="1" width="11.85546875"/>
  </cols>
  <sheetData>
    <row r="1">
      <c r="A1" t="s">
        <v>508</v>
      </c>
    </row>
    <row r="2">
      <c r="A2" s="4" t="s">
        <f>'STEEL IN FLARED  PIER BASE '!A2:O2</f>
        <v>48</v>
      </c>
    </row>
    <row r="3">
      <c r="B3" t="s">
        <v>423</v>
      </c>
      <c r="C3" s="1">
        <f>'STEEL IN FLARED  PIER BASE '!E3</f>
        <v>93.56999999999998</v>
      </c>
      <c r="D3" t="s">
        <v>424</v>
      </c>
      <c r="E3" s="1">
        <f>102-1.2</f>
        <v>100.8</v>
      </c>
      <c r="F3" t="s">
        <v>92</v>
      </c>
    </row>
    <row r="4">
      <c r="A4" t="s">
        <v>425</v>
      </c>
    </row>
    <row r="5">
      <c r="B5" t="s">
        <v>380</v>
      </c>
    </row>
    <row r="6">
      <c r="B6" s="1" t="s">
        <f>'STABILITY CHECK FOR PIER'!B201</f>
        <v>290</v>
      </c>
      <c r="C6" s="1" t="s">
        <f>'STABILITY CHECK FOR PIER'!C201</f>
        <v>53</v>
      </c>
      <c r="D6" s="1">
        <f>'STABILITY CHECK FOR PIER'!D201</f>
        <v>1463.6159999999998</v>
      </c>
      <c r="E6" s="1" t="s">
        <f>'STABILITY CHECK FOR PIER'!E201</f>
        <v>204</v>
      </c>
    </row>
    <row r="7">
      <c r="B7" s="1" t="s">
        <f>'STABILITY CHECK FOR PIER'!B202</f>
        <v>292</v>
      </c>
      <c r="C7" s="1" t="s">
        <f>'STABILITY CHECK FOR PIER'!C202</f>
        <v>53</v>
      </c>
      <c r="D7" s="1">
        <f>'STABILITY CHECK FOR PIER'!D202</f>
        <v>2821.2050880000015</v>
      </c>
      <c r="E7" s="1" t="s">
        <f>'STABILITY CHECK FOR PIER'!E202</f>
        <v>204</v>
      </c>
      <c r="F7" s="1" t="s">
        <f>'STABILITY CHECK FOR PIER'!F202</f>
        <v>381</v>
      </c>
    </row>
    <row r="8">
      <c r="B8" s="1" t="s">
        <f>'STABILITY CHECK FOR PIER'!B203</f>
        <v>292</v>
      </c>
      <c r="C8" s="1" t="s">
        <f>'STABILITY CHECK FOR PIER'!C203</f>
        <v>53</v>
      </c>
      <c r="D8" s="1">
        <f>'STABILITY CHECK FOR PIER'!D203</f>
        <v>2271.835470000002</v>
      </c>
      <c r="E8" s="1" t="s">
        <f>'STABILITY CHECK FOR PIER'!E203</f>
        <v>204</v>
      </c>
      <c r="F8" s="1" t="s">
        <f>'STABILITY CHECK FOR PIER'!F203</f>
        <v>382</v>
      </c>
    </row>
    <row r="9">
      <c r="B9" s="1" t="s">
        <f>'STABILITY CHECK FOR PIER'!B204</f>
        <v>383</v>
      </c>
      <c r="C9" s="1" t="s">
        <f>'STABILITY CHECK FOR PIER'!C204</f>
        <v>53</v>
      </c>
      <c r="D9" s="1">
        <f>'STABILITY CHECK FOR PIER'!D204</f>
        <v>788.2663473053892</v>
      </c>
      <c r="E9" s="1" t="s">
        <f>'STABILITY CHECK FOR PIER'!E204</f>
        <v>204</v>
      </c>
    </row>
    <row r="10">
      <c r="B10" s="1" t="s">
        <f>'STABILITY CHECK FOR PIER'!B205</f>
        <v>384</v>
      </c>
      <c r="C10" s="1" t="s">
        <f>'STABILITY CHECK FOR PIER'!C205</f>
        <v>53</v>
      </c>
      <c r="D10" s="1">
        <f>'STABILITY CHECK FOR PIER'!D205</f>
        <v>5073.0874353053905</v>
      </c>
      <c r="E10" s="1" t="s">
        <f>'STABILITY CHECK FOR PIER'!E205</f>
        <v>204</v>
      </c>
    </row>
    <row r="11">
      <c r="B11" s="1" t="s">
        <f>'STABILITY CHECK FOR PIER'!B206</f>
        <v>385</v>
      </c>
      <c r="C11" s="1" t="s">
        <f>'STABILITY CHECK FOR PIER'!C206</f>
        <v>53</v>
      </c>
      <c r="D11" s="1">
        <f>'STABILITY CHECK FOR PIER'!D206</f>
        <v>4523.717817305391</v>
      </c>
      <c r="E11" s="1" t="s">
        <f>'STABILITY CHECK FOR PIER'!E206</f>
        <v>204</v>
      </c>
    </row>
    <row r="12">
      <c r="B12" s="1" t="s">
        <f>'STABILITY CHECK FOR PIER'!B422</f>
        <v>386</v>
      </c>
    </row>
    <row r="13">
      <c r="B13" s="1" t="s">
        <v>346</v>
      </c>
      <c r="C13" s="1">
        <f>C3</f>
        <v>93.56999999999998</v>
      </c>
      <c r="D13" s="1" t="s">
        <f>D15</f>
        <v>347</v>
      </c>
      <c r="E13" s="1">
        <f>'STABILITY CHECK FOR PIER'!H207</f>
        <v>356.81410292867747</v>
      </c>
      <c r="F13" s="1" t="s">
        <f>'STABILITY CHECK FOR PIER'!K115</f>
        <v>323</v>
      </c>
    </row>
    <row r="14">
      <c r="B14" s="1" t="s">
        <f>'STABILITY CHECK FOR PIER'!B423</f>
        <v>387</v>
      </c>
    </row>
    <row r="15">
      <c r="B15" s="1" t="s">
        <v>346</v>
      </c>
      <c r="C15" s="1">
        <f>C3</f>
        <v>93.56999999999998</v>
      </c>
      <c r="D15" s="1" t="s">
        <f>'STABILITY CHECK FOR PIER'!E155</f>
        <v>347</v>
      </c>
      <c r="E15" s="1">
        <f>'STABILITY CHECK FOR PIER'!H208</f>
        <v>2360.441980772989</v>
      </c>
      <c r="F15" s="1" t="s">
        <f>'STABILITY CHECK FOR PIER'!K156</f>
        <v>323</v>
      </c>
    </row>
    <row r="16">
      <c r="B16" t="s">
        <f>[1]TROUGH!A21</f>
        <v>426</v>
      </c>
      <c r="D16" t="s">
        <f>'STEEL IN FLARED  PIER BASE '!D16</f>
        <v>427</v>
      </c>
    </row>
    <row r="17">
      <c r="B17" t="s">
        <f>[1]TROUGH!A22</f>
        <v>428</v>
      </c>
      <c r="F17">
        <f>[1]TROUGH!F22</f>
        <v>415</v>
      </c>
      <c r="G17" t="s">
        <f>[1]TROUGH!G22</f>
        <v>232</v>
      </c>
    </row>
    <row r="18">
      <c r="B18" t="s">
        <f>[1]TROUGH!A23</f>
        <v>429</v>
      </c>
    </row>
    <row r="19">
      <c r="B19" t="s">
        <f>[1]TROUGH!B24</f>
        <v>430</v>
      </c>
      <c r="D19">
        <v>190</v>
      </c>
    </row>
    <row r="20">
      <c r="B20" t="s">
        <f>[1]TROUGH!B31</f>
        <v>431</v>
      </c>
    </row>
    <row r="21" ht="25.5" customHeight="1">
      <c r="B21" t="s">
        <v>432</v>
      </c>
      <c r="D21" t="s">
        <v>433</v>
      </c>
      <c r="E21" s="1" t="s">
        <v>53</v>
      </c>
      <c r="F21">
        <v>30</v>
      </c>
      <c r="G21" t="s">
        <v>232</v>
      </c>
    </row>
    <row r="22" ht="25.5" customHeight="1">
      <c r="B22" t="s">
        <f>[1]TROUGH!B32</f>
        <v>434</v>
      </c>
      <c r="D22" t="s">
        <f>[1]TROUGH!C32</f>
        <v>435</v>
      </c>
      <c r="E22" s="1" t="s">
        <f>[1]TROUGH!D32</f>
        <v>53</v>
      </c>
      <c r="F22">
        <v>8</v>
      </c>
      <c r="G22" t="s">
        <f>[1]TROUGH!F32</f>
        <v>232</v>
      </c>
    </row>
    <row r="23" ht="25.5" customHeight="1">
      <c r="B23" t="s">
        <f>[1]TROUGH!B33</f>
        <v>436</v>
      </c>
      <c r="D23" t="s">
        <f>[1]TROUGH!C33</f>
        <v>437</v>
      </c>
      <c r="E23" s="1" t="s">
        <f>[1]TROUGH!D33</f>
        <v>53</v>
      </c>
      <c r="F23">
        <f>[1]TROUGH!E33</f>
        <v>8</v>
      </c>
      <c r="G23" t="s">
        <f>[1]TROUGH!F33</f>
        <v>232</v>
      </c>
    </row>
    <row r="24">
      <c r="D24" t="s">
        <f>[1]TROUGH!C34</f>
        <v>438</v>
      </c>
      <c r="E24" s="1" t="s">
        <f>[1]TROUGH!D34</f>
        <v>53</v>
      </c>
      <c r="F24">
        <f>[1]TROUGH!E34</f>
        <v>3.6</v>
      </c>
      <c r="G24" t="s">
        <f>[1]TROUGH!F34</f>
        <v>232</v>
      </c>
    </row>
    <row r="25" ht="15.75" customHeight="1">
      <c r="B25" t="s">
        <v>439</v>
      </c>
      <c r="C25" t="s">
        <v>53</v>
      </c>
      <c r="D25">
        <v>1.5</v>
      </c>
      <c r="E25" s="1" t="s">
        <v>440</v>
      </c>
      <c r="F25" s="1">
        <f>D10</f>
        <v>5073.0874353053905</v>
      </c>
      <c r="G25" t="s">
        <v>53</v>
      </c>
      <c r="H25">
        <f>D25*F25</f>
        <v>7609.631152958085</v>
      </c>
      <c r="I25" t="s">
        <v>204</v>
      </c>
    </row>
    <row r="26" ht="15.75" customHeight="1">
      <c r="B26" t="s">
        <v>441</v>
      </c>
      <c r="C26" t="s">
        <v>53</v>
      </c>
      <c r="D26">
        <v>1.5</v>
      </c>
      <c r="E26" s="1" t="s">
        <v>440</v>
      </c>
      <c r="F26" s="1">
        <f>E13</f>
        <v>356.81410292867747</v>
      </c>
      <c r="G26" t="s">
        <v>53</v>
      </c>
      <c r="H26">
        <f>D26*F26</f>
        <v>535.2211543930161</v>
      </c>
      <c r="I26" t="s">
        <v>323</v>
      </c>
    </row>
    <row r="27" ht="15.75" customHeight="1">
      <c r="B27" t="s">
        <v>442</v>
      </c>
      <c r="C27" t="s">
        <v>53</v>
      </c>
      <c r="D27">
        <v>1.5</v>
      </c>
      <c r="E27" s="1" t="s">
        <v>440</v>
      </c>
      <c r="F27" s="1">
        <f>E15</f>
        <v>2360.441980772989</v>
      </c>
      <c r="G27" t="s">
        <v>53</v>
      </c>
      <c r="H27">
        <f>D27*F27</f>
        <v>3540.6629711594837</v>
      </c>
      <c r="I27" t="s">
        <v>323</v>
      </c>
    </row>
    <row r="28">
      <c r="B28" t="s">
        <v>443</v>
      </c>
      <c r="F28">
        <v>33.33</v>
      </c>
      <c r="G28" t="s">
        <v>271</v>
      </c>
    </row>
    <row r="29">
      <c r="B29" t="s">
        <v>444</v>
      </c>
    </row>
    <row r="30">
      <c r="C30">
        <v>12000</v>
      </c>
      <c r="D30" t="s">
        <v>445</v>
      </c>
      <c r="E30">
        <v>1200</v>
      </c>
      <c r="F30" t="s">
        <v>230</v>
      </c>
    </row>
    <row r="31">
      <c r="C31" t="s">
        <v>446</v>
      </c>
      <c r="D31">
        <v>75</v>
      </c>
    </row>
    <row r="32" ht="14.25" customHeight="1">
      <c r="B32" t="s">
        <v>447</v>
      </c>
      <c r="C32" t="s">
        <v>53</v>
      </c>
      <c r="D32">
        <f>D31+C51/2</f>
        <v>87.5</v>
      </c>
      <c r="E32" t="s">
        <v>107</v>
      </c>
      <c r="F32">
        <f>E30</f>
        <v>1200</v>
      </c>
      <c r="G32" t="s">
        <v>53</v>
      </c>
      <c r="H32" s="8">
        <f>D32/F32</f>
        <v>0.07291666666666667</v>
      </c>
    </row>
    <row r="33" ht="15.75" customHeight="1">
      <c r="B33" t="s">
        <v>448</v>
      </c>
      <c r="C33" t="s">
        <v>53</v>
      </c>
      <c r="D33" s="1">
        <f>H25</f>
        <v>7609.631152958085</v>
      </c>
      <c r="E33" t="s">
        <v>91</v>
      </c>
      <c r="F33">
        <v>1000</v>
      </c>
      <c r="G33" t="s">
        <v>449</v>
      </c>
      <c r="H33">
        <f>$F$21</f>
        <v>30</v>
      </c>
      <c r="I33" t="s">
        <v>91</v>
      </c>
      <c r="J33">
        <f>$C$30</f>
        <v>12000</v>
      </c>
      <c r="K33" t="s">
        <v>199</v>
      </c>
      <c r="L33">
        <f>$E$30</f>
        <v>1200</v>
      </c>
      <c r="M33" t="s">
        <v>105</v>
      </c>
    </row>
    <row r="34">
      <c r="C34" t="s">
        <v>53</v>
      </c>
      <c r="D34" s="8">
        <f>D33*F33/(H33*J33*L33)</f>
        <v>0.017614886928143718</v>
      </c>
    </row>
    <row r="35">
      <c r="B35" t="s">
        <v>450</v>
      </c>
    </row>
    <row r="36" ht="15.75" customHeight="1">
      <c r="B36" t="s">
        <v>451</v>
      </c>
      <c r="C36" t="s">
        <v>53</v>
      </c>
      <c r="D36" s="1">
        <f>H26</f>
        <v>535.2211543930161</v>
      </c>
      <c r="E36" t="s">
        <f>E33</f>
        <v>91</v>
      </c>
      <c r="F36">
        <f>$F$33*1000</f>
        <v>1000000</v>
      </c>
      <c r="G36" t="s">
        <v>449</v>
      </c>
      <c r="H36">
        <f>$F$21</f>
        <v>30</v>
      </c>
      <c r="I36" t="s">
        <v>91</v>
      </c>
      <c r="J36">
        <f>$C$30</f>
        <v>12000</v>
      </c>
      <c r="K36" t="s">
        <v>199</v>
      </c>
      <c r="L36">
        <f>$E$30</f>
        <v>1200</v>
      </c>
      <c r="M36" t="s">
        <v>452</v>
      </c>
    </row>
    <row r="37">
      <c r="C37" t="s">
        <v>53</v>
      </c>
      <c r="D37" s="8">
        <f>D36*F36/(H36*J36*L36^2)</f>
        <v>0.001032448214492701</v>
      </c>
    </row>
    <row r="38" ht="31.5" customHeight="1">
      <c r="B38" t="s">
        <v>453</v>
      </c>
    </row>
    <row r="39" ht="12.75" customHeight="1">
      <c r="B39" t="s">
        <v>454</v>
      </c>
    </row>
    <row r="40">
      <c r="B40" t="s">
        <v>455</v>
      </c>
    </row>
    <row r="42">
      <c r="B42" t="s">
        <v>456</v>
      </c>
      <c r="D42" s="1">
        <f>$D$11</f>
        <v>4523.717817305391</v>
      </c>
      <c r="E42" s="1" t="s">
        <f>E33</f>
        <v>91</v>
      </c>
      <c r="F42" s="4">
        <f>F33</f>
        <v>1000</v>
      </c>
      <c r="G42" t="s">
        <v>107</v>
      </c>
      <c r="H42">
        <f>$F$22</f>
        <v>8</v>
      </c>
    </row>
    <row r="43" ht="14.25" customHeight="1">
      <c r="C43" t="s">
        <v>53</v>
      </c>
      <c r="D43" s="4">
        <f>D42*F42/H42</f>
        <v>565464.7271631738</v>
      </c>
      <c r="E43" t="s">
        <v>457</v>
      </c>
    </row>
    <row r="44">
      <c r="B44" t="s">
        <v>458</v>
      </c>
      <c r="C44">
        <f>0.8</f>
        <v>0.8</v>
      </c>
      <c r="D44" t="s">
        <v>91</v>
      </c>
      <c r="E44" s="4">
        <f>D43</f>
        <v>565464.7271631738</v>
      </c>
      <c r="F44" t="s">
        <v>107</v>
      </c>
      <c r="G44">
        <v>100</v>
      </c>
    </row>
    <row r="45" ht="14.25" customHeight="1">
      <c r="C45" t="s">
        <v>53</v>
      </c>
      <c r="D45" s="4">
        <f>C44*E44/100</f>
        <v>4523.717817305391</v>
      </c>
      <c r="E45" t="s">
        <v>457</v>
      </c>
    </row>
    <row r="47">
      <c r="B47" t="s">
        <v>459</v>
      </c>
    </row>
    <row r="48">
      <c r="B48" t="s">
        <v>460</v>
      </c>
      <c r="C48">
        <v>0.3</v>
      </c>
      <c r="D48" t="s">
        <v>91</v>
      </c>
      <c r="E48">
        <f>C30</f>
        <v>12000</v>
      </c>
      <c r="F48" t="s">
        <v>199</v>
      </c>
      <c r="G48">
        <f>$E$30</f>
        <v>1200</v>
      </c>
      <c r="H48" t="s">
        <v>107</v>
      </c>
      <c r="I48">
        <v>100</v>
      </c>
    </row>
    <row r="49" ht="14.25" customHeight="1">
      <c r="C49" t="s">
        <v>53</v>
      </c>
      <c r="D49" s="4">
        <f>C48*E48*G48/100</f>
        <v>43200</v>
      </c>
      <c r="E49" t="s">
        <v>457</v>
      </c>
    </row>
    <row r="50" ht="14.25" customHeight="1">
      <c r="B50" t="s">
        <v>461</v>
      </c>
      <c r="C50" t="s">
        <v>53</v>
      </c>
      <c r="D50" s="4">
        <f>D49</f>
        <v>43200</v>
      </c>
      <c r="E50" t="s">
        <v>457</v>
      </c>
    </row>
    <row r="51">
      <c r="B51" t="s">
        <v>462</v>
      </c>
      <c r="C51">
        <v>25</v>
      </c>
      <c r="D51" t="s">
        <v>463</v>
      </c>
      <c r="E51" t="s">
        <v>53</v>
      </c>
      <c r="F51" s="4">
        <f>D50/(0.785*C51^2)</f>
        <v>88.05095541401273</v>
      </c>
      <c r="G51" t="s">
        <v>238</v>
      </c>
    </row>
    <row r="52">
      <c r="B52" t="s">
        <v>464</v>
      </c>
      <c r="C52" t="s">
        <v>53</v>
      </c>
      <c r="D52" s="4">
        <f>ROUNDDOWN((2*(E48+G48)/F51),-1)</f>
        <v>290</v>
      </c>
      <c r="E52" t="s">
        <v>465</v>
      </c>
    </row>
    <row r="53">
      <c r="B53" t="s">
        <v>466</v>
      </c>
    </row>
    <row r="55" ht="15.75" customHeight="1">
      <c r="B55" t="s">
        <v>451</v>
      </c>
      <c r="C55" t="s">
        <v>53</v>
      </c>
      <c r="D55" s="1">
        <f>H27</f>
        <v>3540.6629711594837</v>
      </c>
      <c r="E55" t="s">
        <f>E36</f>
        <v>91</v>
      </c>
      <c r="F55">
        <f>$F$33*1000</f>
        <v>1000000</v>
      </c>
      <c r="G55" t="s">
        <f>G36</f>
        <v>449</v>
      </c>
      <c r="H55">
        <f>$F$21</f>
        <v>30</v>
      </c>
      <c r="I55" t="s">
        <f>I36</f>
        <v>91</v>
      </c>
    </row>
    <row r="56" ht="14.25" customHeight="1">
      <c r="E56">
        <f>$C$30</f>
        <v>12000</v>
      </c>
      <c r="F56" t="s">
        <v>199</v>
      </c>
      <c r="G56">
        <f>$E$30</f>
        <v>1200</v>
      </c>
      <c r="H56" t="s">
        <v>452</v>
      </c>
    </row>
    <row r="57">
      <c r="C57" t="s">
        <v>53</v>
      </c>
      <c r="D57" s="8">
        <f>D55*F55/(H55*E56*G56^2)</f>
        <v>0.006829982583255177</v>
      </c>
    </row>
    <row r="58" ht="29.25" customHeight="1">
      <c r="B58" t="s">
        <v>453</v>
      </c>
    </row>
    <row r="59">
      <c r="B59" t="s">
        <v>467</v>
      </c>
    </row>
    <row r="60">
      <c r="B60" t="s">
        <v>468</v>
      </c>
    </row>
    <row r="61">
      <c r="C61" s="1">
        <f>E15</f>
        <v>2360.441980772989</v>
      </c>
      <c r="D61" s="4" t="s">
        <v>107</v>
      </c>
      <c r="E61" s="1">
        <f>102+1.2+0.925/2-91.79</f>
        <v>11.872500000000002</v>
      </c>
      <c r="F61" s="2" t="s">
        <v>53</v>
      </c>
      <c r="G61" s="1">
        <f>C61/E61</f>
        <v>198.8159175214141</v>
      </c>
      <c r="H61" t="s">
        <v>204</v>
      </c>
    </row>
    <row r="62">
      <c r="A62" t="s">
        <v>469</v>
      </c>
    </row>
    <row r="63">
      <c r="B63" t="s">
        <v>470</v>
      </c>
      <c r="C63" s="1">
        <f>G61</f>
        <v>198.8159175214141</v>
      </c>
      <c r="D63" s="1" t="s">
        <v>91</v>
      </c>
      <c r="E63">
        <v>1000</v>
      </c>
      <c r="F63" s="1" t="s">
        <v>449</v>
      </c>
      <c r="G63">
        <f>E56</f>
        <v>12000</v>
      </c>
      <c r="H63" s="1" t="s">
        <v>91</v>
      </c>
      <c r="I63">
        <f>G56</f>
        <v>1200</v>
      </c>
      <c r="J63" t="s">
        <v>105</v>
      </c>
    </row>
    <row r="64" ht="14.25" customHeight="1">
      <c r="C64" t="s">
        <v>53</v>
      </c>
      <c r="D64" s="1">
        <f>C63*E63/(G63*I63)</f>
        <v>0.01380666093898709</v>
      </c>
      <c r="E64" t="s">
        <v>232</v>
      </c>
    </row>
    <row r="65">
      <c r="B65" t="s">
        <v>471</v>
      </c>
      <c r="C65" s="1">
        <f>F51*0.785*C51^2/(E56*G56)*100</f>
        <v>0.3</v>
      </c>
    </row>
    <row r="66" ht="14.25" customHeight="1">
      <c r="B66" t="s">
        <v>472</v>
      </c>
      <c r="C66" s="1">
        <v>0.4</v>
      </c>
      <c r="D66" t="s">
        <v>232</v>
      </c>
      <c r="E66" t="s">
        <v>473</v>
      </c>
    </row>
    <row r="67">
      <c r="B67" t="s">
        <v>474</v>
      </c>
    </row>
    <row r="68">
      <c r="B68" t="s">
        <v>475</v>
      </c>
    </row>
    <row r="69" ht="14.25" customHeight="1">
      <c r="B69" t="s">
        <v>476</v>
      </c>
      <c r="C69" t="s">
        <v>53</v>
      </c>
      <c r="D69" s="4">
        <f>C51</f>
        <v>25</v>
      </c>
      <c r="E69" t="s">
        <v>107</v>
      </c>
      <c r="F69">
        <v>4</v>
      </c>
      <c r="G69" t="s">
        <v>53</v>
      </c>
      <c r="H69">
        <f>D69/F69</f>
        <v>6.25</v>
      </c>
      <c r="I69" t="s">
        <v>230</v>
      </c>
    </row>
    <row r="70">
      <c r="B70" t="s">
        <v>477</v>
      </c>
      <c r="C70">
        <v>12</v>
      </c>
      <c r="D70" s="8" t="s">
        <v>478</v>
      </c>
    </row>
    <row r="71">
      <c r="B71" t="s">
        <v>479</v>
      </c>
    </row>
    <row r="72">
      <c r="B72" t="s">
        <v>480</v>
      </c>
      <c r="C72">
        <f>I63</f>
        <v>1200</v>
      </c>
      <c r="D72" t="s">
        <v>230</v>
      </c>
    </row>
    <row r="73">
      <c r="B73" t="s">
        <v>481</v>
      </c>
      <c r="C73">
        <v>12</v>
      </c>
      <c r="D73" s="1" t="s">
        <v>91</v>
      </c>
      <c r="E73" s="4">
        <f>C70</f>
        <v>12</v>
      </c>
      <c r="F73" s="1" t="s">
        <v>53</v>
      </c>
      <c r="G73" s="4">
        <f>C73*E73</f>
        <v>144</v>
      </c>
      <c r="H73" s="4" t="s">
        <v>230</v>
      </c>
    </row>
    <row r="74">
      <c r="B74" t="s">
        <v>482</v>
      </c>
      <c r="C74">
        <v>300</v>
      </c>
      <c r="D74" s="8" t="s">
        <v>230</v>
      </c>
    </row>
    <row r="75">
      <c r="B75" t="s">
        <v>483</v>
      </c>
      <c r="C75" t="s">
        <v>484</v>
      </c>
      <c r="D75" s="4">
        <v>100</v>
      </c>
      <c r="E75" s="1" t="s">
        <v>230</v>
      </c>
    </row>
    <row r="76" ht="14.25" customHeight="1">
      <c r="B76" t="s">
        <v>477</v>
      </c>
      <c r="C76">
        <f>C70</f>
        <v>12</v>
      </c>
      <c r="D76" s="8" t="s">
        <v>485</v>
      </c>
      <c r="F76" s="4">
        <v>100</v>
      </c>
      <c r="G76" t="s">
        <v>486</v>
      </c>
    </row>
    <row r="77">
      <c r="B77" s="4" t="s">
        <v>487</v>
      </c>
    </row>
    <row r="78">
      <c r="B78" s="4" t="s">
        <v>488</v>
      </c>
    </row>
    <row r="79">
      <c r="B79" s="4" t="s">
        <v>489</v>
      </c>
      <c r="D79" s="4" t="s">
        <v>490</v>
      </c>
    </row>
    <row r="80">
      <c r="C80" s="1" t="s">
        <v>491</v>
      </c>
    </row>
    <row r="81">
      <c r="B81" s="1" t="s">
        <v>64</v>
      </c>
      <c r="C81" s="1" t="s">
        <v>53</v>
      </c>
      <c r="D81" s="1">
        <f>F76</f>
        <v>100</v>
      </c>
      <c r="E81" s="1" t="s">
        <v>230</v>
      </c>
    </row>
    <row r="82" ht="14.25" customHeight="1">
      <c r="B82" s="1" t="s">
        <v>116</v>
      </c>
      <c r="C82" s="1" t="s">
        <v>53</v>
      </c>
      <c r="D82" s="1">
        <v>300</v>
      </c>
      <c r="E82" s="1" t="s">
        <v>232</v>
      </c>
      <c r="F82" s="1" t="s">
        <v>492</v>
      </c>
    </row>
    <row r="83" ht="14.25" customHeight="1">
      <c r="B83" s="1" t="s">
        <v>493</v>
      </c>
      <c r="C83" s="1" t="s">
        <v>53</v>
      </c>
      <c r="D83" s="1">
        <v>30</v>
      </c>
      <c r="E83" s="1" t="s">
        <v>232</v>
      </c>
      <c r="H83" s="4" t="s">
        <v>494</v>
      </c>
    </row>
    <row r="84" ht="14.25" customHeight="1">
      <c r="B84" s="1" t="s">
        <v>495</v>
      </c>
      <c r="C84" s="1" t="s">
        <v>53</v>
      </c>
      <c r="D84" s="1">
        <v>415</v>
      </c>
      <c r="E84" s="1" t="s">
        <v>232</v>
      </c>
    </row>
    <row r="85" ht="14.25" customHeight="1">
      <c r="B85" s="1" t="s">
        <v>496</v>
      </c>
      <c r="C85" s="1" t="s">
        <v>53</v>
      </c>
      <c r="D85" s="1">
        <f>G48*1</f>
        <v>1200</v>
      </c>
      <c r="E85" s="1" t="s">
        <v>457</v>
      </c>
      <c r="F85" s="1" t="s">
        <v>497</v>
      </c>
    </row>
    <row r="86" ht="14.25" customHeight="1">
      <c r="B86" s="1" t="s">
        <v>498</v>
      </c>
      <c r="C86" s="1" t="s">
        <v>53</v>
      </c>
      <c r="D86" s="1">
        <f>D85-2*(75-C51/2-C76)</f>
        <v>1099</v>
      </c>
      <c r="E86" s="1" t="s">
        <v>457</v>
      </c>
      <c r="F86" s="1" t="s">
        <v>499</v>
      </c>
    </row>
    <row r="87" ht="14.25" customHeight="1">
      <c r="B87" s="1" t="s">
        <v>500</v>
      </c>
      <c r="C87" s="1" t="s">
        <v>53</v>
      </c>
      <c r="D87" s="1">
        <f>0.18*D81*D82*(D83/D84)*(D85/D86-1)</f>
        <v>35.874891741670936</v>
      </c>
      <c r="E87" s="1" t="s">
        <v>457</v>
      </c>
    </row>
    <row r="88" ht="14.25" customHeight="1">
      <c r="B88" s="1" t="s">
        <v>501</v>
      </c>
      <c r="C88" s="1" t="s">
        <v>53</v>
      </c>
      <c r="D88" s="1">
        <f>0.785*C76^2</f>
        <v>113.04</v>
      </c>
      <c r="E88" s="1" t="s">
        <v>457</v>
      </c>
      <c r="F88" s="1" t="s">
        <v>502</v>
      </c>
    </row>
    <row r="89">
      <c r="B89" t="s">
        <v>483</v>
      </c>
      <c r="C89" t="s">
        <v>484</v>
      </c>
      <c r="D89" s="4">
        <v>100</v>
      </c>
      <c r="E89" s="1" t="s">
        <v>230</v>
      </c>
    </row>
    <row r="90" ht="14.25" customHeight="1">
      <c r="B90" t="s">
        <v>477</v>
      </c>
      <c r="C90">
        <f>C70</f>
        <v>12</v>
      </c>
      <c r="D90" s="8" t="s">
        <v>485</v>
      </c>
      <c r="F90" s="4">
        <v>100</v>
      </c>
      <c r="G90" t="s">
        <v>486</v>
      </c>
    </row>
    <row r="91">
      <c r="B91" s="4" t="s">
        <v>487</v>
      </c>
    </row>
    <row r="92">
      <c r="B92" s="4" t="s">
        <v>503</v>
      </c>
    </row>
    <row r="93">
      <c r="B93" t="s">
        <v>504</v>
      </c>
    </row>
    <row r="94">
      <c r="B94" t="s">
        <v>505</v>
      </c>
      <c r="C94" s="4">
        <f>C51</f>
        <v>25</v>
      </c>
      <c r="D94" s="4" t="s">
        <v>463</v>
      </c>
      <c r="E94" s="4">
        <f>D52</f>
        <v>290</v>
      </c>
      <c r="F94" s="4" t="s">
        <v>465</v>
      </c>
      <c r="H94" t="s">
        <v>506</v>
      </c>
    </row>
    <row r="95">
      <c r="B95" t="s">
        <v>467</v>
      </c>
      <c r="C95" t="s">
        <f>CONCATENATE("   ",C90,D90,F90,G90)</f>
        <v>507</v>
      </c>
    </row>
    <row r="97"/>
    <row r="98"/>
    <row r="99"/>
    <row r="101"/>
    <row r="102"/>
    <row r="105"/>
    <row r="106" ht="14.25" customHeight="1"/>
    <row r="107"/>
    <row r="108"/>
    <row r="109"/>
    <row r="110"/>
    <row r="111"/>
    <row r="112"/>
    <row r="113"/>
    <row r="114" ht="14.25" customHeight="1"/>
    <row r="115"/>
    <row r="116"/>
    <row r="153"/>
    <row r="154"/>
    <row r="155"/>
    <row r="156"/>
    <row r="157"/>
    <row r="158"/>
    <row r="159"/>
    <row r="160"/>
    <row r="161"/>
    <row r="162"/>
    <row r="163"/>
    <row r="164"/>
    <row r="165"/>
    <row r="166"/>
    <row r="167"/>
    <row r="168"/>
    <row r="169"/>
    <row r="170"/>
  </sheetData>
  <mergeCells count="6">
    <mergeCell ref="A1:O1"/>
    <mergeCell ref="B67:D67"/>
    <mergeCell ref="B39:L39"/>
    <mergeCell ref="B38:L38"/>
    <mergeCell ref="B58:L58"/>
    <mergeCell ref="A2:O2"/>
  </mergeCells>
  <pageMargins left="0.75" right="0.75" top="1" bottom="1" header="0.5" footer="0.5"/>
  <ignoredErrors>
    <ignoredError numberStoredAsText="1" sqref="A1:U170"/>
  </ignoredErrors>
</worksheet>
</file>

<file path=xl/worksheets/sheet13.xml><?xml version="1.0" encoding="utf-8"?>
<worksheet xmlns="http://schemas.openxmlformats.org/spreadsheetml/2006/main" xmlns:r="http://schemas.openxmlformats.org/officeDocument/2006/relationships">
  <dimension ref="A1:N75"/>
  <sheetViews>
    <sheetView workbookViewId="0" rightToLeft="0"/>
  </sheetViews>
  <cols>
    <col min="1" max="1" customWidth="1" width="6.7109375"/>
    <col min="2" max="2" customWidth="1" width="34.42578125"/>
    <col min="3" max="3" customWidth="1" width="15.42578125"/>
    <col min="4" max="4" customWidth="1" width="9.85546875"/>
    <col min="5" max="5" customWidth="1" width="9.7109375"/>
    <col min="6" max="6" customWidth="1" width="8.28515625"/>
    <col min="7" max="7" customWidth="1" width="9.85546875"/>
    <col min="8" max="8" customWidth="1" width="8"/>
    <col min="9" max="9" customWidth="1" width="4"/>
    <col min="10" max="10" customWidth="1" width="6.5703125"/>
    <col min="11" max="11" customWidth="1" width="2.5703125"/>
    <col min="12" max="12" customWidth="1" width="7.5703125"/>
    <col min="13" max="13" customWidth="1" width="2.85546875"/>
    <col min="14" max="14" customWidth="1" width="2.85546875"/>
  </cols>
  <sheetData>
    <row r="1">
      <c r="A1" t="s">
        <v>509</v>
      </c>
    </row>
    <row r="2">
      <c r="A2" s="4" t="s">
        <f>'STEEL IN PIER'!A2:O2</f>
        <v>48</v>
      </c>
    </row>
    <row r="3">
      <c r="A3" t="s">
        <v>510</v>
      </c>
    </row>
    <row r="4" ht="15.75" customHeight="1">
      <c r="B4" t="s">
        <v>511</v>
      </c>
      <c r="C4" t="s">
        <v>512</v>
      </c>
      <c r="D4" s="1">
        <f>'STABILITY CHECK FOR PIER'!E52</f>
        <v>12</v>
      </c>
      <c r="E4" t="s">
        <v>85</v>
      </c>
    </row>
    <row r="5" ht="15.75" customHeight="1">
      <c r="B5" t="s">
        <v>513</v>
      </c>
      <c r="C5" t="s">
        <v>514</v>
      </c>
      <c r="D5" s="1">
        <f>'STABILITY CHECK FOR PIER'!G52</f>
        <v>3.8</v>
      </c>
      <c r="E5" t="s">
        <v>85</v>
      </c>
    </row>
    <row r="6">
      <c r="B6" t="s">
        <v>515</v>
      </c>
      <c r="D6" s="1">
        <v>1.2</v>
      </c>
      <c r="E6" t="s">
        <v>85</v>
      </c>
    </row>
    <row r="7">
      <c r="B7" t="s">
        <v>516</v>
      </c>
      <c r="C7" t="s">
        <v>60</v>
      </c>
      <c r="D7" s="1">
        <f>'STABILITY CHECK FOR PIER'!D263</f>
        <v>5073.0874353053905</v>
      </c>
      <c r="E7" t="s">
        <v>204</v>
      </c>
    </row>
    <row r="8" ht="15.75" customHeight="1">
      <c r="B8" t="s">
        <v>517</v>
      </c>
      <c r="C8" t="s">
        <v>518</v>
      </c>
      <c r="D8" s="1">
        <f>'STABILITY CHECK FOR PIER'!J265</f>
        <v>356.81410292867747</v>
      </c>
      <c r="E8" t="s">
        <v>323</v>
      </c>
    </row>
    <row r="9" ht="15.75" customHeight="1">
      <c r="B9" t="s">
        <v>519</v>
      </c>
      <c r="C9" t="s">
        <v>520</v>
      </c>
      <c r="D9" s="1">
        <f>'STABILITY CHECK FOR PIER'!J266</f>
        <v>2467.335738886583</v>
      </c>
      <c r="E9" t="s">
        <v>323</v>
      </c>
    </row>
    <row r="10" hidden="1" ht="15.75" customHeight="1">
      <c r="B10" t="s">
        <v>521</v>
      </c>
      <c r="C10" t="s">
        <v>522</v>
      </c>
      <c r="D10" s="1">
        <f>D8/D7</f>
        <v>0.07033470396064599</v>
      </c>
      <c r="E10" t="s">
        <v>85</v>
      </c>
    </row>
    <row r="11" hidden="1" ht="15.75" customHeight="1">
      <c r="B11" t="s">
        <v>523</v>
      </c>
      <c r="C11" t="s">
        <v>524</v>
      </c>
      <c r="D11" s="1">
        <f>D9/D7</f>
        <v>0.4863578186560575</v>
      </c>
      <c r="E11" t="s">
        <v>85</v>
      </c>
    </row>
    <row r="12" hidden="1" ht="15.75" customHeight="1">
      <c r="B12" s="1" t="s">
        <v>525</v>
      </c>
      <c r="D12" s="1">
        <f>D10/D4</f>
        <v>0.005861225330053833</v>
      </c>
      <c r="E12" s="1" t="s">
        <v>526</v>
      </c>
    </row>
    <row r="13" hidden="1" ht="15.75" customHeight="1">
      <c r="B13" s="1" t="s">
        <v>527</v>
      </c>
      <c r="D13" s="1">
        <f>D11/D5</f>
        <v>0.12798889964633092</v>
      </c>
    </row>
    <row r="14" hidden="1" ht="12.75" customHeight="1">
      <c r="B14" s="1" t="s">
        <v>528</v>
      </c>
      <c r="D14" s="1">
        <v>1</v>
      </c>
    </row>
    <row r="15" hidden="1">
      <c r="B15" s="1" t="s">
        <v>529</v>
      </c>
      <c r="D15" s="1">
        <v>0</v>
      </c>
    </row>
    <row r="16" ht="15.75" customHeight="1">
      <c r="B16" t="s">
        <v>530</v>
      </c>
      <c r="E16" s="1">
        <f>D5*D15</f>
        <v>0</v>
      </c>
      <c r="F16" s="1" t="s">
        <v>389</v>
      </c>
      <c r="G16" s="1">
        <f>E16/D5*100</f>
        <v>0</v>
      </c>
      <c r="H16" t="s">
        <v>271</v>
      </c>
    </row>
    <row r="17" ht="14.25" customHeight="1">
      <c r="B17" t="s">
        <v>531</v>
      </c>
      <c r="E17" s="1">
        <f>'STABILITY CHECK FOR PIER'!D279</f>
        <v>138.66109635051396</v>
      </c>
      <c r="F17" s="1" t="s">
        <v>280</v>
      </c>
    </row>
    <row r="18" ht="14.25" customHeight="1">
      <c r="B18" t="s">
        <v>532</v>
      </c>
      <c r="E18" s="1">
        <f>E17*D14</f>
        <v>138.66109635051396</v>
      </c>
      <c r="F18" s="1" t="s">
        <v>280</v>
      </c>
    </row>
    <row r="19" ht="14.25" customHeight="1">
      <c r="B19" t="s">
        <v>533</v>
      </c>
      <c r="E19" s="1">
        <f>E18</f>
        <v>138.66109635051396</v>
      </c>
      <c r="F19" s="1" t="s">
        <v>280</v>
      </c>
    </row>
    <row r="20" ht="15" customHeight="1">
      <c r="B20" t="s">
        <v>534</v>
      </c>
      <c r="E20" s="1">
        <f>'Footing STRESS DIAGRAM'!C4</f>
        <v>1.2999999999999998</v>
      </c>
      <c r="F20" s="2" t="s">
        <v>85</v>
      </c>
    </row>
    <row r="21" ht="14.25" customHeight="1">
      <c r="B21" t="s">
        <v>535</v>
      </c>
      <c r="E21" s="1">
        <f>(D5-E16-E20)*E19/(D5-E16)</f>
        <v>91.22440549375919</v>
      </c>
      <c r="F21" s="1" t="s">
        <v>280</v>
      </c>
    </row>
    <row r="22" ht="14.25" customHeight="1">
      <c r="B22" t="s">
        <v>536</v>
      </c>
      <c r="E22" s="1">
        <f>(E19+E21)/2</f>
        <v>114.94275092213658</v>
      </c>
      <c r="F22" s="1" t="s">
        <v>280</v>
      </c>
    </row>
    <row r="23" ht="14.25" customHeight="1">
      <c r="B23" t="s">
        <v>537</v>
      </c>
      <c r="E23" s="1">
        <f>E20*1</f>
        <v>1.2999999999999998</v>
      </c>
      <c r="F23" s="1" t="s">
        <v>389</v>
      </c>
    </row>
    <row r="24" ht="25.5" customHeight="1">
      <c r="B24" t="s">
        <v>538</v>
      </c>
      <c r="E24" s="1">
        <f>E20/3*(E21+2*E19)/(E19+E21)</f>
        <v>0.6947089947089946</v>
      </c>
      <c r="F24" s="2" t="s">
        <v>85</v>
      </c>
    </row>
    <row r="25">
      <c r="B25" t="s">
        <v>539</v>
      </c>
      <c r="E25" s="1">
        <f>E22*E23*E24</f>
        <v>103.80729182486502</v>
      </c>
      <c r="F25" s="1" t="s">
        <v>323</v>
      </c>
    </row>
    <row r="26">
      <c r="B26" t="s">
        <v>540</v>
      </c>
      <c r="E26" t="s">
        <f>'STEEL IN PIER'!D16</f>
        <v>427</v>
      </c>
    </row>
    <row r="27">
      <c r="B27" t="s">
        <v>541</v>
      </c>
      <c r="E27">
        <v>10</v>
      </c>
      <c r="F27" t="s">
        <v>232</v>
      </c>
    </row>
    <row r="28">
      <c r="B28" t="s">
        <v>85</v>
      </c>
      <c r="E28" s="1">
        <f>280/(3*E27)</f>
        <v>9.333333333333334</v>
      </c>
    </row>
    <row r="29">
      <c r="B29" t="s">
        <v>542</v>
      </c>
      <c r="E29">
        <v>200</v>
      </c>
    </row>
    <row r="30">
      <c r="B30" t="s">
        <v>543</v>
      </c>
      <c r="E30" s="2">
        <f>(E28*E27)/(E27*E28+E29)</f>
        <v>0.3181818181818182</v>
      </c>
    </row>
    <row r="31">
      <c r="B31" t="s">
        <v>544</v>
      </c>
      <c r="E31" s="2">
        <f>1-(E30/3)</f>
        <v>0.8939393939393939</v>
      </c>
    </row>
    <row r="32">
      <c r="B32" t="s">
        <v>173</v>
      </c>
      <c r="E32" s="2">
        <f>0.5*E27*E31*E30</f>
        <v>1.4221763085399448</v>
      </c>
    </row>
    <row r="33">
      <c r="B33" t="s">
        <v>545</v>
      </c>
      <c r="E33" s="4">
        <f>SQRT((E25*1000*1000)/(E32*1000))</f>
        <v>270.170054715077</v>
      </c>
      <c r="F33" t="s">
        <v>230</v>
      </c>
    </row>
    <row r="34">
      <c r="B34" t="s">
        <v>546</v>
      </c>
      <c r="E34" s="4">
        <f>'STABILITY CHECK FOR PIER'!J52*1000</f>
        <v>1000</v>
      </c>
      <c r="F34" t="s">
        <v>230</v>
      </c>
    </row>
    <row r="35">
      <c r="B35" t="s">
        <v>547</v>
      </c>
      <c r="E35" s="4">
        <v>50</v>
      </c>
      <c r="F35" t="s">
        <v>230</v>
      </c>
    </row>
    <row r="36">
      <c r="B36" t="s">
        <v>548</v>
      </c>
      <c r="E36" s="4">
        <v>25</v>
      </c>
      <c r="F36" t="s">
        <v>230</v>
      </c>
    </row>
    <row r="37">
      <c r="B37" t="s">
        <v>549</v>
      </c>
      <c r="E37" s="4">
        <f>E34-E35-E36/2</f>
        <v>937.5</v>
      </c>
      <c r="F37" t="s">
        <v>230</v>
      </c>
    </row>
    <row r="38">
      <c r="B38" t="s">
        <v>550</v>
      </c>
      <c r="E38">
        <f>IF(E33&gt;E37,E33,E37)</f>
        <v>937.5</v>
      </c>
      <c r="F38" t="s">
        <v>230</v>
      </c>
    </row>
    <row r="39" ht="14.25" customHeight="1">
      <c r="B39" t="s">
        <v>551</v>
      </c>
      <c r="E39" s="4">
        <f>(E25*1000*1000)/(E29*E31*E38)</f>
        <v>619.3248597008896</v>
      </c>
      <c r="F39" t="s">
        <v>457</v>
      </c>
    </row>
    <row r="40" ht="14.25" customHeight="1">
      <c r="B40" t="s">
        <v>552</v>
      </c>
      <c r="E40" s="4">
        <f>3.14*E36*E36/4</f>
        <v>490.625</v>
      </c>
      <c r="F40" t="s">
        <v>457</v>
      </c>
    </row>
    <row r="41">
      <c r="B41" t="s">
        <v>553</v>
      </c>
      <c r="E41" s="4">
        <f>(E40*1000)/E39</f>
        <v>792.1932929302293</v>
      </c>
      <c r="F41" t="s">
        <v>230</v>
      </c>
    </row>
    <row r="42">
      <c r="B42" t="s">
        <v>554</v>
      </c>
      <c r="C42" s="4">
        <f>E36</f>
        <v>25</v>
      </c>
      <c r="D42" t="s">
        <v>230</v>
      </c>
      <c r="E42" t="s">
        <v>555</v>
      </c>
    </row>
    <row r="43" ht="14.25" customHeight="1">
      <c r="B43" t="s">
        <v>556</v>
      </c>
      <c r="E43" s="4">
        <f>(0.2*1000*10)</f>
        <v>2000</v>
      </c>
      <c r="F43" t="s">
        <v>457</v>
      </c>
    </row>
    <row r="44" ht="21" customHeight="1">
      <c r="B44" t="s">
        <v>557</v>
      </c>
      <c r="E44">
        <v>20</v>
      </c>
      <c r="F44" t="s">
        <v>230</v>
      </c>
    </row>
    <row r="45" ht="14.25" customHeight="1">
      <c r="B45" t="s">
        <v>558</v>
      </c>
      <c r="E45">
        <f>3.14*E44*E44/4</f>
        <v>314</v>
      </c>
      <c r="F45" t="s">
        <v>457</v>
      </c>
    </row>
    <row r="46">
      <c r="B46" t="s">
        <v>559</v>
      </c>
      <c r="E46" s="4">
        <f>(E45*1000)/E43</f>
        <v>157</v>
      </c>
      <c r="F46" t="s">
        <v>230</v>
      </c>
    </row>
    <row r="47">
      <c r="B47" t="s">
        <v>554</v>
      </c>
      <c r="C47">
        <f>E44</f>
        <v>20</v>
      </c>
      <c r="D47" t="s">
        <v>230</v>
      </c>
      <c r="E47">
        <f>ROUNDDOWN(E46,-1)</f>
        <v>150</v>
      </c>
      <c r="F47" t="s">
        <v>230</v>
      </c>
    </row>
    <row r="48"/>
    <row r="49" ht="25.5" customHeight="1">
      <c r="B49" t="s">
        <v>560</v>
      </c>
      <c r="C49">
        <v>12</v>
      </c>
      <c r="D49" t="s">
        <v>230</v>
      </c>
      <c r="E49">
        <v>150</v>
      </c>
      <c r="F49" t="s">
        <v>230</v>
      </c>
    </row>
    <row r="50" ht="25.5" customHeight="1">
      <c r="B50" t="s">
        <v>561</v>
      </c>
      <c r="C50">
        <v>12</v>
      </c>
      <c r="D50" t="s">
        <v>230</v>
      </c>
      <c r="E50">
        <v>150</v>
      </c>
      <c r="F50" t="s">
        <v>230</v>
      </c>
    </row>
    <row r="51"/>
    <row r="52" ht="14.25" customHeight="1">
      <c r="A52" t="s">
        <v>562</v>
      </c>
      <c r="C52" t="s">
        <v>563</v>
      </c>
    </row>
    <row r="53">
      <c r="B53" t="s">
        <v>564</v>
      </c>
      <c r="E53">
        <f>E38</f>
        <v>937.5</v>
      </c>
      <c r="F53" t="s">
        <v>230</v>
      </c>
    </row>
    <row r="54">
      <c r="B54" t="s">
        <v>565</v>
      </c>
      <c r="E54" s="1">
        <f>E20-E53/1000</f>
        <v>0.3624999999999998</v>
      </c>
      <c r="F54" t="s">
        <v>85</v>
      </c>
    </row>
    <row r="55" ht="14.25" customHeight="1">
      <c r="B55" t="s">
        <v>533</v>
      </c>
      <c r="E55" s="1">
        <f>E19</f>
        <v>138.66109635051396</v>
      </c>
      <c r="F55" s="1" t="s">
        <v>280</v>
      </c>
    </row>
    <row r="56" ht="14.25" customHeight="1">
      <c r="B56" t="s">
        <v>566</v>
      </c>
      <c r="E56" s="1">
        <f>E55/('[2]STRESS DIAGRAM'!D18-'[2]STRESS DIAGRAM'!B21)*(-'FOOTING DESIGN'!E54+'[2]STRESS DIAGRAM'!D18-'[2]STRESS DIAGRAM'!B21)</f>
        <v>124.69869428744138</v>
      </c>
      <c r="F56" s="1" t="s">
        <v>280</v>
      </c>
    </row>
    <row r="57" ht="14.25" customHeight="1">
      <c r="B57" t="s">
        <v>536</v>
      </c>
      <c r="E57" s="1">
        <f>(E55+E56)/2</f>
        <v>131.67989531897769</v>
      </c>
      <c r="F57" s="1" t="s">
        <v>280</v>
      </c>
    </row>
    <row r="58">
      <c r="B58" t="s">
        <v>567</v>
      </c>
      <c r="E58" s="1">
        <f>E57*E54</f>
        <v>47.73396205312939</v>
      </c>
      <c r="F58" t="s">
        <v>204</v>
      </c>
    </row>
    <row r="59">
      <c r="B59" t="s">
        <v>568</v>
      </c>
      <c r="C59" t="s">
        <v>569</v>
      </c>
    </row>
    <row r="60" ht="14.25" customHeight="1">
      <c r="B60" t="s">
        <v>570</v>
      </c>
      <c r="E60" s="1">
        <f>E58*1000/E53/1000</f>
        <v>0.05091622619000469</v>
      </c>
      <c r="F60" s="1" t="s">
        <v>232</v>
      </c>
    </row>
    <row r="61">
      <c r="B61" t="s">
        <v>571</v>
      </c>
      <c r="C61" t="s">
        <v>572</v>
      </c>
      <c r="E61" s="1">
        <f>100*E39/(1000*E38)</f>
        <v>0.0660613183680949</v>
      </c>
    </row>
    <row r="62" ht="14.25" customHeight="1">
      <c r="B62" t="s">
        <v>573</v>
      </c>
      <c r="E62" s="1">
        <v>0.23</v>
      </c>
      <c r="F62" s="1" t="s">
        <v>232</v>
      </c>
    </row>
    <row r="63">
      <c r="B63" t="s">
        <v>574</v>
      </c>
    </row>
    <row r="64" ht="14.25" customHeight="1">
      <c r="B64" t="s">
        <v>575</v>
      </c>
      <c r="E64" s="1">
        <f>E62</f>
        <v>0.23</v>
      </c>
      <c r="F64" s="1" t="s">
        <v>232</v>
      </c>
    </row>
    <row r="65" ht="26.25" customHeight="1">
      <c r="D65" t="s">
        <v>576</v>
      </c>
    </row>
    <row r="66" ht="21" customHeight="1">
      <c r="B66" t="s">
        <v>577</v>
      </c>
      <c r="E66">
        <v>16</v>
      </c>
      <c r="F66" t="s">
        <v>230</v>
      </c>
    </row>
    <row r="67" ht="14.25" customHeight="1">
      <c r="B67" t="s">
        <v>558</v>
      </c>
      <c r="E67" s="4">
        <f>3.14*E66*E66/4</f>
        <v>200.96</v>
      </c>
      <c r="F67" t="s">
        <v>457</v>
      </c>
    </row>
    <row r="68">
      <c r="B68" t="s">
        <v>578</v>
      </c>
      <c r="E68" s="4">
        <f>2*E67*E29*E38/(E58*1000)</f>
        <v>1578.7501552065166</v>
      </c>
      <c r="F68" t="s">
        <v>230</v>
      </c>
    </row>
    <row r="69">
      <c r="B69" t="s">
        <v>554</v>
      </c>
      <c r="C69">
        <f>E66</f>
        <v>16</v>
      </c>
      <c r="D69" t="s">
        <v>230</v>
      </c>
      <c r="E69" t="s">
        <v>555</v>
      </c>
    </row>
    <row r="70"/>
    <row r="71"/>
    <row r="72"/>
    <row r="73"/>
    <row r="74"/>
    <row r="75"/>
  </sheetData>
  <mergeCells count="4">
    <mergeCell ref="D65:G65"/>
    <mergeCell ref="E12:G15"/>
    <mergeCell ref="A1:N1"/>
    <mergeCell ref="A2:N2"/>
  </mergeCells>
  <pageMargins left="0.75" right="0.75" top="1" bottom="1" header="0.5" footer="0.5"/>
  <ignoredErrors>
    <ignoredError numberStoredAsText="1" sqref="A1:N75"/>
  </ignoredErrors>
</worksheet>
</file>

<file path=xl/worksheets/sheet14.xml><?xml version="1.0" encoding="utf-8"?>
<worksheet xmlns="http://schemas.openxmlformats.org/spreadsheetml/2006/main" xmlns:r="http://schemas.openxmlformats.org/officeDocument/2006/relationships">
  <dimension ref="A1:I31"/>
  <sheetViews>
    <sheetView workbookViewId="0" rightToLeft="0"/>
  </sheetViews>
  <cols>
    <col min="1" max="1" customWidth="1" width="11.85546875"/>
    <col min="2" max="2" customWidth="1" width="8.42578125"/>
  </cols>
  <sheetData>
    <row r="1">
      <c r="D1" s="1">
        <f>'FOOTING DESIGN'!D6</f>
        <v>1.2</v>
      </c>
      <c r="E1" t="s">
        <v>85</v>
      </c>
    </row>
    <row r="4">
      <c r="C4" s="1">
        <f>(D18-D1)/2</f>
        <v>1.2999999999999998</v>
      </c>
      <c r="D4" t="s">
        <v>85</v>
      </c>
    </row>
    <row r="18">
      <c r="D18" s="1">
        <f>'FOOTING DESIGN'!D5</f>
        <v>3.8</v>
      </c>
      <c r="E18" t="s">
        <v>85</v>
      </c>
    </row>
    <row r="21">
      <c r="B21" s="1">
        <f>'FOOTING DESIGN'!E16</f>
        <v>0</v>
      </c>
      <c r="C21" t="s">
        <v>85</v>
      </c>
    </row>
    <row r="22"/>
    <row r="25">
      <c r="E25" s="1">
        <f>'FOOTING DESIGN'!E21</f>
        <v>91.22440549375919</v>
      </c>
    </row>
    <row r="26" ht="14.25" customHeight="1">
      <c r="E26" s="1" t="s">
        <v>280</v>
      </c>
      <c r="G26" s="1">
        <f>'FOOTING DESIGN'!E19</f>
        <v>138.66109635051396</v>
      </c>
      <c r="H26" s="1" t="s">
        <v>280</v>
      </c>
    </row>
    <row r="29">
      <c r="D29" t="s">
        <v>579</v>
      </c>
    </row>
    <row r="31">
      <c r="A31" t="s">
        <v>580</v>
      </c>
    </row>
  </sheetData>
  <mergeCells count="1">
    <mergeCell ref="A31:F31"/>
  </mergeCells>
  <pageMargins left="0.75" right="0.75" top="1" bottom="1" header="0.5" footer="0.5"/>
  <ignoredErrors>
    <ignoredError numberStoredAsText="1" sqref="A1:I31"/>
  </ignoredErrors>
</worksheet>
</file>

<file path=xl/worksheets/sheet15.xml><?xml version="1.0" encoding="utf-8"?>
<worksheet xmlns="http://schemas.openxmlformats.org/spreadsheetml/2006/main" xmlns:r="http://schemas.openxmlformats.org/officeDocument/2006/relationships">
  <dimension ref="A1:H94"/>
  <sheetViews>
    <sheetView workbookViewId="0" rightToLeft="0"/>
  </sheetViews>
  <sheetData>
    <row r="1">
      <c r="A1" t="s">
        <v>581</v>
      </c>
    </row>
    <row r="3">
      <c r="A3" t="s">
        <v>582</v>
      </c>
    </row>
    <row r="5">
      <c r="A5" t="s">
        <v>583</v>
      </c>
    </row>
    <row r="7">
      <c r="A7" t="s">
        <v>584</v>
      </c>
    </row>
    <row r="9">
      <c r="A9" t="s">
        <v>585</v>
      </c>
    </row>
    <row r="11">
      <c r="A11" t="s">
        <v>586</v>
      </c>
      <c r="B11">
        <v>3.6</v>
      </c>
      <c r="C11" t="s">
        <v>587</v>
      </c>
    </row>
    <row r="13">
      <c r="A13" t="s">
        <v>586</v>
      </c>
      <c r="B13">
        <v>5.3</v>
      </c>
      <c r="C13" t="s">
        <v>92</v>
      </c>
    </row>
    <row r="14">
      <c r="A14" t="s">
        <v>588</v>
      </c>
    </row>
    <row r="16">
      <c r="A16" t="s">
        <v>584</v>
      </c>
    </row>
    <row r="18">
      <c r="A18" t="s">
        <v>589</v>
      </c>
    </row>
    <row r="19">
      <c r="A19" t="s">
        <v>590</v>
      </c>
    </row>
    <row r="20">
      <c r="A20" t="s">
        <v>591</v>
      </c>
    </row>
    <row r="21">
      <c r="A21" t="s">
        <v>592</v>
      </c>
    </row>
    <row r="22">
      <c r="A22" t="s">
        <v>593</v>
      </c>
    </row>
    <row r="23">
      <c r="A23" t="s">
        <v>594</v>
      </c>
    </row>
    <row r="24">
      <c r="A24" t="s">
        <v>595</v>
      </c>
    </row>
    <row r="25">
      <c r="A25" t="s">
        <v>596</v>
      </c>
    </row>
    <row r="26">
      <c r="A26" t="s">
        <v>597</v>
      </c>
    </row>
    <row r="27">
      <c r="B27" t="s">
        <v>598</v>
      </c>
    </row>
    <row r="29">
      <c r="A29" t="s">
        <v>599</v>
      </c>
      <c r="B29" t="s">
        <v>586</v>
      </c>
      <c r="C29" s="1">
        <v>7</v>
      </c>
      <c r="D29" t="s">
        <v>586</v>
      </c>
      <c r="E29">
        <v>0.7</v>
      </c>
    </row>
    <row r="30">
      <c r="A30" t="s">
        <v>600</v>
      </c>
      <c r="C30" s="9">
        <v>10</v>
      </c>
    </row>
    <row r="31">
      <c r="A31" t="s">
        <v>601</v>
      </c>
      <c r="C31">
        <v>2.4</v>
      </c>
    </row>
    <row r="33">
      <c r="A33" t="s">
        <v>602</v>
      </c>
      <c r="B33" t="s">
        <v>603</v>
      </c>
      <c r="D33" t="s">
        <v>604</v>
      </c>
    </row>
    <row r="35">
      <c r="A35" t="s">
        <v>605</v>
      </c>
      <c r="B35" t="s">
        <v>586</v>
      </c>
      <c r="C35">
        <v>10</v>
      </c>
      <c r="D35" t="s">
        <v>586</v>
      </c>
      <c r="E35" t="s">
        <v>606</v>
      </c>
    </row>
    <row r="36">
      <c r="A36">
        <v>2</v>
      </c>
      <c r="C36">
        <v>2</v>
      </c>
    </row>
    <row r="37">
      <c r="A37" t="s">
        <v>607</v>
      </c>
      <c r="C37" t="s">
        <v>608</v>
      </c>
      <c r="D37" t="s">
        <v>148</v>
      </c>
      <c r="E37">
        <v>1</v>
      </c>
    </row>
    <row r="38" ht="15" customHeight="1">
      <c r="A38" t="s">
        <v>609</v>
      </c>
      <c r="B38">
        <f>2.4*4*0.5+1</f>
        <v>5.8</v>
      </c>
      <c r="C38" t="s">
        <v>92</v>
      </c>
    </row>
    <row r="39">
      <c r="A39" t="s">
        <v>610</v>
      </c>
    </row>
    <row r="41">
      <c r="A41" t="s">
        <v>611</v>
      </c>
    </row>
    <row r="42">
      <c r="A42" t="s">
        <v>612</v>
      </c>
    </row>
    <row r="43">
      <c r="A43" t="s">
        <v>613</v>
      </c>
    </row>
    <row r="44">
      <c r="A44" t="s">
        <v>614</v>
      </c>
    </row>
    <row r="45">
      <c r="A45" t="s">
        <v>615</v>
      </c>
    </row>
    <row r="46">
      <c r="A46" t="s">
        <v>616</v>
      </c>
    </row>
    <row r="47">
      <c r="A47" t="s">
        <v>617</v>
      </c>
    </row>
    <row r="48">
      <c r="A48" t="s">
        <v>618</v>
      </c>
    </row>
    <row r="49">
      <c r="A49" t="s">
        <v>619</v>
      </c>
    </row>
    <row r="50">
      <c r="A50" t="s">
        <v>620</v>
      </c>
    </row>
    <row r="51">
      <c r="A51" t="s">
        <v>621</v>
      </c>
    </row>
    <row r="52">
      <c r="A52" t="s">
        <v>622</v>
      </c>
    </row>
    <row r="53">
      <c r="A53" t="s">
        <v>623</v>
      </c>
    </row>
    <row r="54">
      <c r="A54" t="s">
        <v>624</v>
      </c>
    </row>
    <row r="56">
      <c r="A56" t="s">
        <v>83</v>
      </c>
      <c r="B56">
        <v>79.63</v>
      </c>
      <c r="D56" t="s">
        <v>586</v>
      </c>
      <c r="E56" s="1">
        <f>79.63/5.3/6.695</f>
        <v>2.244141643298998</v>
      </c>
      <c r="F56" t="s">
        <v>625</v>
      </c>
    </row>
    <row r="57">
      <c r="B57" t="s">
        <v>626</v>
      </c>
    </row>
    <row r="58">
      <c r="A58" t="s">
        <v>627</v>
      </c>
    </row>
    <row r="59" ht="32.25" customHeight="1">
      <c r="B59" t="s">
        <v>628</v>
      </c>
    </row>
    <row r="61" ht="15.75" customHeight="1">
      <c r="B61" t="s">
        <v>629</v>
      </c>
    </row>
    <row r="62">
      <c r="C62" t="s">
        <v>53</v>
      </c>
      <c r="D62" s="1">
        <f>2.24*3*1.5*1/10</f>
        <v>1.0080000000000002</v>
      </c>
      <c r="E62" t="s">
        <v>630</v>
      </c>
    </row>
    <row r="63" ht="15.75" customHeight="1">
      <c r="B63" t="s">
        <v>631</v>
      </c>
    </row>
    <row r="64">
      <c r="C64" t="s">
        <v>53</v>
      </c>
      <c r="D64">
        <f>2.24*3-1.01</f>
        <v>5.710000000000001</v>
      </c>
      <c r="E64" t="s">
        <v>630</v>
      </c>
    </row>
    <row r="66">
      <c r="A66" t="s">
        <v>632</v>
      </c>
    </row>
    <row r="67">
      <c r="A67" t="s">
        <v>633</v>
      </c>
    </row>
    <row r="68">
      <c r="A68" t="s">
        <v>634</v>
      </c>
      <c r="B68" t="s">
        <v>635</v>
      </c>
    </row>
    <row r="69">
      <c r="A69" t="s">
        <v>636</v>
      </c>
      <c r="B69" t="s">
        <v>637</v>
      </c>
    </row>
    <row r="70">
      <c r="A70" t="s">
        <v>638</v>
      </c>
      <c r="B70" t="s">
        <v>639</v>
      </c>
    </row>
    <row r="71">
      <c r="A71" t="s">
        <v>640</v>
      </c>
      <c r="B71" t="s">
        <v>641</v>
      </c>
    </row>
    <row r="72">
      <c r="A72" t="s">
        <v>642</v>
      </c>
      <c r="B72" t="s">
        <v>643</v>
      </c>
      <c r="C72" t="s">
        <v>644</v>
      </c>
    </row>
    <row r="73">
      <c r="A73" t="s">
        <v>645</v>
      </c>
    </row>
    <row r="74">
      <c r="A74" t="s">
        <v>646</v>
      </c>
    </row>
    <row r="75">
      <c r="A75" t="s">
        <v>586</v>
      </c>
      <c r="B75">
        <v>1.9</v>
      </c>
      <c r="C75" t="s">
        <v>92</v>
      </c>
    </row>
    <row r="76">
      <c r="A76" t="s">
        <v>647</v>
      </c>
    </row>
    <row r="77">
      <c r="A77" t="s">
        <v>648</v>
      </c>
    </row>
    <row r="78">
      <c r="A78" t="s">
        <v>649</v>
      </c>
      <c r="D78" t="s">
        <v>650</v>
      </c>
    </row>
    <row r="79">
      <c r="A79" t="s">
        <v>651</v>
      </c>
      <c r="D79" t="s">
        <v>652</v>
      </c>
    </row>
    <row r="80">
      <c r="A80" t="s">
        <v>653</v>
      </c>
      <c r="C80" t="s">
        <v>148</v>
      </c>
      <c r="D80">
        <v>1.9</v>
      </c>
    </row>
    <row r="81">
      <c r="A81" t="s">
        <v>654</v>
      </c>
      <c r="B81" t="s">
        <v>655</v>
      </c>
    </row>
    <row r="82">
      <c r="A82" t="s">
        <v>620</v>
      </c>
    </row>
    <row r="83">
      <c r="A83" t="s">
        <v>621</v>
      </c>
    </row>
    <row r="84">
      <c r="A84" t="s">
        <v>622</v>
      </c>
    </row>
    <row r="85">
      <c r="A85" t="s">
        <v>623</v>
      </c>
    </row>
    <row r="86">
      <c r="A86" t="s">
        <v>624</v>
      </c>
    </row>
    <row r="87">
      <c r="A87" t="s">
        <v>83</v>
      </c>
      <c r="B87">
        <v>79.63</v>
      </c>
      <c r="D87" t="s">
        <v>586</v>
      </c>
      <c r="E87" s="1">
        <f>79.63/5.3/1.9</f>
        <v>7.907646474677259</v>
      </c>
      <c r="F87" t="s">
        <v>625</v>
      </c>
    </row>
    <row r="88">
      <c r="B88" t="s">
        <v>656</v>
      </c>
    </row>
    <row r="89">
      <c r="A89" t="s">
        <v>627</v>
      </c>
    </row>
    <row r="90" ht="32.25" customHeight="1">
      <c r="B90" t="s">
        <v>628</v>
      </c>
    </row>
    <row r="91" ht="15.75" customHeight="1">
      <c r="B91" t="s">
        <v>657</v>
      </c>
    </row>
    <row r="92">
      <c r="C92" t="s">
        <v>53</v>
      </c>
      <c r="D92" s="1">
        <f>7.91*3*1.5*1/10</f>
        <v>3.5595</v>
      </c>
      <c r="E92" t="s">
        <v>630</v>
      </c>
    </row>
    <row r="93" ht="15.75" customHeight="1">
      <c r="B93" t="s">
        <v>658</v>
      </c>
    </row>
    <row r="94">
      <c r="C94" t="s">
        <v>53</v>
      </c>
      <c r="D94">
        <f>7.91*3-3.56</f>
        <v>20.17</v>
      </c>
      <c r="E94" t="s">
        <v>630</v>
      </c>
    </row>
  </sheetData>
  <mergeCells count="17">
    <mergeCell ref="B90:H90"/>
    <mergeCell ref="B56:C56"/>
    <mergeCell ref="D56:D57"/>
    <mergeCell ref="E56:E57"/>
    <mergeCell ref="B57:C57"/>
    <mergeCell ref="B59:H59"/>
    <mergeCell ref="B87:C87"/>
    <mergeCell ref="D87:D88"/>
    <mergeCell ref="E87:E88"/>
    <mergeCell ref="F87:F88"/>
    <mergeCell ref="B88:C88"/>
    <mergeCell ref="B29:B30"/>
    <mergeCell ref="D29:D30"/>
    <mergeCell ref="E29:E30"/>
    <mergeCell ref="B35:B36"/>
    <mergeCell ref="D35:D36"/>
    <mergeCell ref="E35:E36"/>
  </mergeCells>
  <pageMargins left="0.75" right="0.75" top="1" bottom="1" header="0.5" footer="0.5"/>
  <ignoredErrors>
    <ignoredError numberStoredAsText="1" sqref="A1:H94"/>
  </ignoredErrors>
</worksheet>
</file>

<file path=xl/worksheets/sheet16.xml><?xml version="1.0" encoding="utf-8"?>
<worksheet xmlns="http://schemas.openxmlformats.org/spreadsheetml/2006/main" xmlns:r="http://schemas.openxmlformats.org/officeDocument/2006/relationships">
  <dimension ref="A1:N108"/>
  <sheetViews>
    <sheetView workbookViewId="0" rightToLeft="0"/>
  </sheetViews>
  <cols>
    <col min="2" max="2" customWidth="1" width="67.28515625"/>
    <col min="3" max="3" customWidth="1" width="26.85546875"/>
    <col min="4" max="4" customWidth="1" width="7"/>
  </cols>
  <sheetData>
    <row r="1">
      <c r="A1" t="s">
        <v>659</v>
      </c>
    </row>
    <row r="2">
      <c r="A2" t="s">
        <v>660</v>
      </c>
    </row>
    <row r="3">
      <c r="A3" t="s">
        <v>661</v>
      </c>
      <c r="C3" s="1">
        <f>'[6]STABILITY CHECK FOR PIER'!H27</f>
        <v>0.75</v>
      </c>
      <c r="D3" t="s">
        <v>199</v>
      </c>
      <c r="E3" s="1">
        <f>'[6]STABILITY CHECK ABUTMENT'!F4</f>
        <v>8.4</v>
      </c>
      <c r="F3" t="s">
        <v>662</v>
      </c>
      <c r="G3">
        <v>2.4</v>
      </c>
      <c r="H3" t="s">
        <v>53</v>
      </c>
      <c r="I3" s="1">
        <f>C3*E3*G3</f>
        <v>15.120000000000001</v>
      </c>
      <c r="J3" t="s">
        <v>630</v>
      </c>
    </row>
    <row r="4">
      <c r="A4" t="s">
        <v>663</v>
      </c>
      <c r="C4" s="1">
        <f>'[6]STABILITY CHECK FOR PIER'!H28</f>
        <v>0.075</v>
      </c>
      <c r="D4" t="s">
        <v>199</v>
      </c>
      <c r="E4" s="1">
        <f>E3</f>
        <v>8.4</v>
      </c>
      <c r="F4" t="s">
        <v>662</v>
      </c>
      <c r="G4">
        <v>2.4</v>
      </c>
      <c r="H4" t="s">
        <v>53</v>
      </c>
      <c r="I4" s="1">
        <f>C4*E4*G4</f>
        <v>1.512</v>
      </c>
      <c r="J4" t="s">
        <v>630</v>
      </c>
    </row>
    <row r="5">
      <c r="G5" t="s">
        <v>171</v>
      </c>
      <c r="I5" s="1">
        <f>SUM(I3:I4)</f>
        <v>16.632</v>
      </c>
      <c r="J5" t="s">
        <v>630</v>
      </c>
    </row>
    <row r="6">
      <c r="A6" t="s">
        <v>664</v>
      </c>
      <c r="E6" t="s">
        <v>53</v>
      </c>
    </row>
    <row r="7">
      <c r="E7" s="1">
        <f>I5</f>
        <v>16.632</v>
      </c>
      <c r="F7" t="s">
        <v>107</v>
      </c>
      <c r="G7">
        <v>2</v>
      </c>
      <c r="H7" t="s">
        <v>53</v>
      </c>
      <c r="I7" s="1">
        <f>E7/G7</f>
        <v>8.316</v>
      </c>
      <c r="J7" t="s">
        <v>630</v>
      </c>
    </row>
    <row r="8">
      <c r="A8" t="s">
        <v>665</v>
      </c>
    </row>
    <row r="9">
      <c r="D9" t="s">
        <v>666</v>
      </c>
      <c r="E9" s="1">
        <v>82.5</v>
      </c>
      <c r="F9" t="s">
        <v>199</v>
      </c>
      <c r="G9">
        <v>1.1375</v>
      </c>
      <c r="H9" t="s">
        <v>53</v>
      </c>
      <c r="I9" s="1">
        <f>E9*G9</f>
        <v>93.84375</v>
      </c>
      <c r="J9" t="s">
        <v>630</v>
      </c>
    </row>
    <row r="10">
      <c r="A10" t="s">
        <v>667</v>
      </c>
    </row>
    <row r="11">
      <c r="A11" t="s">
        <v>668</v>
      </c>
    </row>
    <row r="12">
      <c r="A12" t="s">
        <v>669</v>
      </c>
      <c r="D12" t="s">
        <v>670</v>
      </c>
      <c r="E12">
        <v>6.695</v>
      </c>
      <c r="F12" t="s">
        <v>92</v>
      </c>
    </row>
    <row r="13">
      <c r="A13" t="s">
        <v>671</v>
      </c>
    </row>
    <row r="14">
      <c r="A14" t="s">
        <v>672</v>
      </c>
      <c r="D14" t="s">
        <v>666</v>
      </c>
      <c r="E14" s="1">
        <f>I9</f>
        <v>93.84375</v>
      </c>
      <c r="F14" t="s">
        <v>107</v>
      </c>
      <c r="G14">
        <f>E12</f>
        <v>6.695</v>
      </c>
      <c r="H14" t="s">
        <v>53</v>
      </c>
      <c r="I14" s="1">
        <f>E14/G14</f>
        <v>14.016990291262136</v>
      </c>
      <c r="J14" t="s">
        <v>630</v>
      </c>
    </row>
    <row r="15">
      <c r="B15" t="s">
        <v>673</v>
      </c>
    </row>
    <row r="16">
      <c r="A16" t="s">
        <v>674</v>
      </c>
      <c r="D16" s="1">
        <f>I7</f>
        <v>8.316</v>
      </c>
      <c r="E16" t="s">
        <v>148</v>
      </c>
      <c r="F16" s="1">
        <f>I14</f>
        <v>14.016990291262136</v>
      </c>
      <c r="H16" t="s">
        <v>53</v>
      </c>
      <c r="I16" s="1">
        <f>D16+F16</f>
        <v>22.332990291262135</v>
      </c>
      <c r="J16" t="s">
        <v>630</v>
      </c>
    </row>
    <row r="17">
      <c r="A17" t="s">
        <v>675</v>
      </c>
      <c r="I17" t="s">
        <v>676</v>
      </c>
    </row>
    <row r="18">
      <c r="A18" t="s">
        <v>677</v>
      </c>
      <c r="D18">
        <f>C3*100-2.5-2.5/2</f>
        <v>71.25</v>
      </c>
      <c r="E18" t="s">
        <v>678</v>
      </c>
    </row>
    <row r="19">
      <c r="A19" t="s">
        <v>679</v>
      </c>
    </row>
    <row r="20">
      <c r="A20" t="s">
        <v>680</v>
      </c>
      <c r="D20" t="s">
        <v>53</v>
      </c>
      <c r="E20">
        <f>D18-75/2</f>
        <v>33.75</v>
      </c>
      <c r="F20" t="s">
        <v>678</v>
      </c>
      <c r="G20" t="s">
        <v>53</v>
      </c>
      <c r="H20" s="1">
        <f>E20/100</f>
        <v>0.3375</v>
      </c>
      <c r="I20" t="s">
        <v>92</v>
      </c>
    </row>
    <row r="21" ht="28.5" customHeight="1">
      <c r="A21" t="s">
        <v>681</v>
      </c>
      <c r="C21" s="1">
        <f>I16</f>
        <v>22.332990291262135</v>
      </c>
      <c r="D21" t="s">
        <v>91</v>
      </c>
      <c r="E21" s="1">
        <f>H20</f>
        <v>0.3375</v>
      </c>
      <c r="H21" s="1">
        <f>ROUNDUP(C21*E21,2)</f>
        <v>7.54</v>
      </c>
      <c r="I21" t="s">
        <v>682</v>
      </c>
    </row>
    <row r="22" ht="28.5" customHeight="1">
      <c r="B22" t="s">
        <v>53</v>
      </c>
      <c r="C22" s="1">
        <f>H21</f>
        <v>7.54</v>
      </c>
      <c r="D22" t="s">
        <v>91</v>
      </c>
      <c r="E22" s="1">
        <v>10</v>
      </c>
      <c r="F22" t="s">
        <v>53</v>
      </c>
      <c r="G22">
        <f>ROUNDUP(C22*10,2)</f>
        <v>75.4</v>
      </c>
      <c r="H22" t="s">
        <v>683</v>
      </c>
    </row>
    <row r="23">
      <c r="A23" t="s">
        <v>684</v>
      </c>
    </row>
    <row r="24">
      <c r="B24" t="s">
        <v>685</v>
      </c>
      <c r="E24" s="1">
        <f>G22</f>
        <v>75.4</v>
      </c>
      <c r="F24" s="1" t="s">
        <v>323</v>
      </c>
    </row>
    <row r="25">
      <c r="B25" t="s">
        <v>540</v>
      </c>
      <c r="E25" t="s">
        <v>686</v>
      </c>
    </row>
    <row r="26">
      <c r="B26" t="s">
        <v>541</v>
      </c>
      <c r="E26">
        <v>10</v>
      </c>
      <c r="F26" t="s">
        <v>232</v>
      </c>
    </row>
    <row r="27">
      <c r="B27" t="s">
        <v>85</v>
      </c>
      <c r="E27" s="1">
        <f>280/(3*E26)</f>
        <v>9.333333333333334</v>
      </c>
    </row>
    <row r="28">
      <c r="B28" t="s">
        <v>542</v>
      </c>
      <c r="E28">
        <v>200</v>
      </c>
    </row>
    <row r="29">
      <c r="B29" t="s">
        <v>543</v>
      </c>
      <c r="E29" s="2">
        <f>(E27*E26)/(E26*E27+E28)</f>
        <v>0.3181818181818182</v>
      </c>
    </row>
    <row r="30">
      <c r="B30" t="s">
        <v>544</v>
      </c>
      <c r="E30" s="2">
        <f>1-(E29/3)</f>
        <v>0.8939393939393939</v>
      </c>
    </row>
    <row r="31">
      <c r="B31" t="s">
        <v>173</v>
      </c>
      <c r="E31" s="2">
        <f>0.5*E26*E30*E29</f>
        <v>1.4221763085399448</v>
      </c>
    </row>
    <row r="32">
      <c r="B32" t="s">
        <v>545</v>
      </c>
      <c r="E32" s="4">
        <f>SQRT((E24*1000*1000)/(E31*1000))</f>
        <v>230.25493819187318</v>
      </c>
      <c r="F32" t="s">
        <v>230</v>
      </c>
    </row>
    <row r="33">
      <c r="B33" t="s">
        <v>546</v>
      </c>
      <c r="E33" s="4">
        <f>1200</f>
        <v>1200</v>
      </c>
      <c r="F33" t="s">
        <v>230</v>
      </c>
    </row>
    <row r="34">
      <c r="B34" t="s">
        <v>547</v>
      </c>
      <c r="E34" s="4">
        <v>50</v>
      </c>
      <c r="F34" t="s">
        <v>230</v>
      </c>
    </row>
    <row r="35">
      <c r="B35" t="s">
        <v>548</v>
      </c>
      <c r="E35" s="4">
        <v>25</v>
      </c>
      <c r="F35" t="s">
        <v>230</v>
      </c>
    </row>
    <row r="36">
      <c r="B36" t="s">
        <v>549</v>
      </c>
      <c r="E36" s="4">
        <f>E33-E34-E35/2</f>
        <v>1137.5</v>
      </c>
      <c r="F36" t="s">
        <v>230</v>
      </c>
    </row>
    <row r="37">
      <c r="B37" t="s">
        <v>550</v>
      </c>
      <c r="E37">
        <f>IF(E32&gt;E36,E32,E36)</f>
        <v>1137.5</v>
      </c>
      <c r="F37" t="s">
        <v>230</v>
      </c>
    </row>
    <row r="38" ht="14.25" customHeight="1">
      <c r="B38" t="s">
        <v>551</v>
      </c>
      <c r="E38" s="4">
        <f>(E24*1000*1000)/(E28*E30*E37)</f>
        <v>370.7506053268765</v>
      </c>
      <c r="F38" t="s">
        <v>457</v>
      </c>
    </row>
    <row r="39" ht="14.25" customHeight="1">
      <c r="B39" t="s">
        <v>552</v>
      </c>
      <c r="E39" s="4">
        <f>3.14*E35*E35/4</f>
        <v>490.625</v>
      </c>
      <c r="F39" t="s">
        <v>457</v>
      </c>
    </row>
    <row r="40">
      <c r="B40" t="s">
        <v>553</v>
      </c>
      <c r="E40" s="4">
        <f>(E39*1000)/E38</f>
        <v>1323.3289250261234</v>
      </c>
      <c r="F40" t="s">
        <v>230</v>
      </c>
    </row>
    <row r="41">
      <c r="B41" t="s">
        <v>554</v>
      </c>
      <c r="C41" s="4">
        <f>E35</f>
        <v>25</v>
      </c>
      <c r="D41" t="s">
        <v>230</v>
      </c>
      <c r="E41" s="4">
        <v>100</v>
      </c>
      <c r="F41" t="s">
        <v>230</v>
      </c>
      <c r="G41" t="s">
        <v>687</v>
      </c>
    </row>
    <row r="42">
      <c r="B42" t="s">
        <v>560</v>
      </c>
      <c r="C42" s="4">
        <f>C41</f>
        <v>25</v>
      </c>
      <c r="D42" t="s">
        <v>230</v>
      </c>
      <c r="E42" s="4">
        <f>E41</f>
        <v>100</v>
      </c>
      <c r="F42" t="s">
        <v>230</v>
      </c>
    </row>
    <row r="43">
      <c r="B43" t="s">
        <v>688</v>
      </c>
      <c r="C43">
        <v>16</v>
      </c>
      <c r="D43" t="s">
        <v>230</v>
      </c>
      <c r="E43" s="4">
        <f>E42</f>
        <v>100</v>
      </c>
      <c r="F43" t="s">
        <v>230</v>
      </c>
    </row>
    <row r="44">
      <c r="A44" t="s">
        <v>689</v>
      </c>
    </row>
    <row r="45">
      <c r="A45" t="s">
        <v>690</v>
      </c>
    </row>
    <row r="46">
      <c r="A46" t="s">
        <v>691</v>
      </c>
      <c r="C46">
        <v>0.975</v>
      </c>
      <c r="D46" t="s">
        <v>199</v>
      </c>
      <c r="E46">
        <v>15</v>
      </c>
      <c r="F46" t="s">
        <v>662</v>
      </c>
      <c r="G46">
        <v>2.4</v>
      </c>
      <c r="H46" t="s">
        <v>53</v>
      </c>
      <c r="I46" s="1">
        <f>C46*E46*G46</f>
        <v>35.1</v>
      </c>
      <c r="J46" t="s">
        <v>630</v>
      </c>
    </row>
    <row r="47">
      <c r="A47" t="s">
        <v>663</v>
      </c>
      <c r="C47">
        <v>0.075</v>
      </c>
      <c r="D47" t="s">
        <v>199</v>
      </c>
      <c r="E47">
        <v>12</v>
      </c>
      <c r="F47" t="s">
        <v>662</v>
      </c>
      <c r="G47">
        <v>2.4</v>
      </c>
      <c r="H47" t="s">
        <v>53</v>
      </c>
      <c r="I47" s="1">
        <f>C47*E47*G47</f>
        <v>2.1599999999999997</v>
      </c>
      <c r="J47" t="s">
        <v>630</v>
      </c>
    </row>
    <row r="48">
      <c r="G48" t="s">
        <v>171</v>
      </c>
      <c r="I48" s="1">
        <f>SUM(I46:I47)</f>
        <v>37.26</v>
      </c>
      <c r="J48" t="s">
        <v>630</v>
      </c>
    </row>
    <row r="49">
      <c r="A49" t="s">
        <v>692</v>
      </c>
      <c r="E49" t="s">
        <v>53</v>
      </c>
    </row>
    <row r="50">
      <c r="E50" s="1">
        <f>I48</f>
        <v>37.26</v>
      </c>
      <c r="F50" t="s">
        <v>107</v>
      </c>
      <c r="G50">
        <v>2</v>
      </c>
      <c r="H50" t="s">
        <v>53</v>
      </c>
      <c r="I50" s="1">
        <f>E50/G50</f>
        <v>18.63</v>
      </c>
      <c r="J50" t="s">
        <v>693</v>
      </c>
    </row>
    <row r="51">
      <c r="A51" t="s">
        <v>694</v>
      </c>
      <c r="E51" t="s">
        <v>695</v>
      </c>
      <c r="I51">
        <v>64.69</v>
      </c>
      <c r="J51" t="s">
        <v>630</v>
      </c>
    </row>
    <row r="53">
      <c r="A53" t="s">
        <v>696</v>
      </c>
    </row>
    <row r="54">
      <c r="A54" t="s">
        <v>697</v>
      </c>
      <c r="C54" t="s">
        <v>695</v>
      </c>
      <c r="D54">
        <v>5.3</v>
      </c>
      <c r="E54" t="s">
        <v>92</v>
      </c>
    </row>
    <row r="56">
      <c r="A56" t="s">
        <v>698</v>
      </c>
      <c r="E56" s="1">
        <f>I51</f>
        <v>64.69</v>
      </c>
      <c r="F56" t="s">
        <v>107</v>
      </c>
      <c r="G56">
        <f>D54</f>
        <v>5.3</v>
      </c>
      <c r="H56" t="s">
        <v>53</v>
      </c>
      <c r="I56" s="1">
        <f>E56/G56</f>
        <v>12.205660377358491</v>
      </c>
      <c r="J56" t="s">
        <v>693</v>
      </c>
    </row>
    <row r="57">
      <c r="A57" t="s">
        <v>699</v>
      </c>
      <c r="D57" s="1">
        <f>I50</f>
        <v>18.63</v>
      </c>
      <c r="E57" t="s">
        <v>148</v>
      </c>
      <c r="F57" s="1">
        <f>I56</f>
        <v>12.205660377358491</v>
      </c>
      <c r="H57" t="s">
        <v>53</v>
      </c>
      <c r="I57" s="1">
        <f>ROUNDUP((D57+F57),2)</f>
        <v>30.84</v>
      </c>
      <c r="J57" t="s">
        <v>630</v>
      </c>
    </row>
    <row r="58">
      <c r="A58" t="s">
        <v>700</v>
      </c>
      <c r="I58" t="s">
        <v>676</v>
      </c>
    </row>
    <row r="59">
      <c r="A59" t="s">
        <v>701</v>
      </c>
    </row>
    <row r="60">
      <c r="A60" t="s">
        <v>702</v>
      </c>
    </row>
    <row r="61" ht="28.5" customHeight="1">
      <c r="A61" t="s">
        <v>703</v>
      </c>
      <c r="C61" s="1">
        <f>I57</f>
        <v>30.84</v>
      </c>
      <c r="D61" t="s">
        <v>91</v>
      </c>
      <c r="E61">
        <v>0</v>
      </c>
      <c r="H61" s="1">
        <f>C61*E61</f>
        <v>0</v>
      </c>
      <c r="I61" t="s">
        <v>682</v>
      </c>
    </row>
    <row r="62">
      <c r="A62" t="s">
        <v>704</v>
      </c>
    </row>
    <row r="63">
      <c r="A63" t="s">
        <v>705</v>
      </c>
    </row>
    <row r="64">
      <c r="A64" t="s">
        <v>706</v>
      </c>
    </row>
    <row r="65">
      <c r="A65" t="s">
        <v>707</v>
      </c>
    </row>
    <row r="66">
      <c r="A66" t="s">
        <v>708</v>
      </c>
    </row>
    <row r="67">
      <c r="A67" t="s">
        <v>709</v>
      </c>
    </row>
    <row r="68">
      <c r="A68" t="s">
        <v>710</v>
      </c>
    </row>
    <row r="69">
      <c r="A69" t="s">
        <v>711</v>
      </c>
    </row>
    <row r="70" ht="14.25" customHeight="1">
      <c r="A70" t="s">
        <v>712</v>
      </c>
      <c r="F70">
        <v>250</v>
      </c>
      <c r="G70" t="s">
        <v>91</v>
      </c>
      <c r="H70">
        <v>1.2</v>
      </c>
      <c r="I70" t="s">
        <v>53</v>
      </c>
      <c r="J70">
        <f>F70*H70</f>
        <v>300</v>
      </c>
      <c r="K70" t="s">
        <v>457</v>
      </c>
    </row>
    <row r="71">
      <c r="A71" t="s">
        <v>713</v>
      </c>
    </row>
    <row r="72">
      <c r="A72" t="s">
        <v>714</v>
      </c>
    </row>
    <row r="73">
      <c r="A73" t="s">
        <v>715</v>
      </c>
    </row>
    <row r="74" ht="14.25" customHeight="1">
      <c r="A74" t="s">
        <v>716</v>
      </c>
      <c r="C74" t="s">
        <v>53</v>
      </c>
      <c r="D74">
        <f>14*491</f>
        <v>6874</v>
      </c>
      <c r="E74" t="s">
        <v>457</v>
      </c>
      <c r="F74" t="s">
        <v>717</v>
      </c>
      <c r="H74" t="s">
        <v>718</v>
      </c>
    </row>
    <row r="76">
      <c r="A76" t="s">
        <v>719</v>
      </c>
    </row>
    <row r="77" ht="14.25" customHeight="1">
      <c r="A77" t="s">
        <v>720</v>
      </c>
      <c r="C77" t="s">
        <v>53</v>
      </c>
      <c r="D77">
        <v>2814</v>
      </c>
      <c r="E77" t="s">
        <v>457</v>
      </c>
      <c r="F77" t="s">
        <v>717</v>
      </c>
      <c r="H77" t="s">
        <v>718</v>
      </c>
    </row>
    <row r="78">
      <c r="A78" t="s">
        <v>721</v>
      </c>
    </row>
    <row r="79">
      <c r="B79" t="s">
        <v>722</v>
      </c>
      <c r="C79" s="1">
        <f>I57</f>
        <v>30.84</v>
      </c>
      <c r="D79" t="s">
        <v>630</v>
      </c>
    </row>
    <row r="80">
      <c r="B80" t="s">
        <v>567</v>
      </c>
      <c r="E80" s="1">
        <f>C79*10</f>
        <v>308.4</v>
      </c>
      <c r="F80" t="s">
        <v>204</v>
      </c>
    </row>
    <row r="81">
      <c r="B81" t="s">
        <v>568</v>
      </c>
      <c r="C81" t="s">
        <v>569</v>
      </c>
    </row>
    <row r="82" ht="14.25" customHeight="1">
      <c r="B82" t="s">
        <v>570</v>
      </c>
      <c r="E82" s="1">
        <f>E80*1000/$E$37/1000</f>
        <v>0.2711208791208791</v>
      </c>
      <c r="F82" s="1" t="s">
        <v>232</v>
      </c>
    </row>
    <row r="83">
      <c r="B83" t="s">
        <v>571</v>
      </c>
      <c r="C83" t="s">
        <v>572</v>
      </c>
      <c r="E83" s="1">
        <f>100*$D$77/(1000*$E$37)</f>
        <v>0.2473846153846154</v>
      </c>
    </row>
    <row r="84" ht="14.25" customHeight="1">
      <c r="B84" t="s">
        <v>573</v>
      </c>
      <c r="E84" s="1">
        <v>0.23</v>
      </c>
      <c r="F84" s="1" t="s">
        <v>232</v>
      </c>
    </row>
    <row r="85">
      <c r="B85" t="s">
        <v>574</v>
      </c>
    </row>
    <row r="86" ht="14.25" customHeight="1">
      <c r="B86" t="s">
        <v>575</v>
      </c>
      <c r="E86" s="1">
        <f>E84</f>
        <v>0.23</v>
      </c>
      <c r="F86" s="1" t="s">
        <v>232</v>
      </c>
    </row>
    <row r="87" ht="26.25" customHeight="1">
      <c r="D87" t="s">
        <v>576</v>
      </c>
    </row>
    <row r="88" ht="21" customHeight="1">
      <c r="B88" t="s">
        <v>577</v>
      </c>
      <c r="E88">
        <v>16</v>
      </c>
      <c r="F88" t="s">
        <v>230</v>
      </c>
    </row>
    <row r="89" ht="14.25" customHeight="1">
      <c r="B89" t="s">
        <v>558</v>
      </c>
      <c r="E89" s="4">
        <f>3.14*E88*E88/4</f>
        <v>200.96</v>
      </c>
      <c r="F89" t="s">
        <v>457</v>
      </c>
    </row>
    <row r="90">
      <c r="B90" t="s">
        <v>578</v>
      </c>
      <c r="E90" s="4">
        <f>2*E89*E28*E37/(E80*1000)</f>
        <v>296.48767833981844</v>
      </c>
      <c r="F90" t="s">
        <v>230</v>
      </c>
    </row>
    <row r="91">
      <c r="B91" t="s">
        <v>554</v>
      </c>
      <c r="C91">
        <f>E88</f>
        <v>16</v>
      </c>
      <c r="D91" t="s">
        <v>230</v>
      </c>
      <c r="E91">
        <v>100</v>
      </c>
      <c r="F91" t="s">
        <v>230</v>
      </c>
      <c r="G91" t="s">
        <v>687</v>
      </c>
    </row>
    <row r="92">
      <c r="A92" t="s">
        <v>723</v>
      </c>
    </row>
    <row r="93">
      <c r="A93" t="s">
        <v>724</v>
      </c>
    </row>
    <row r="94">
      <c r="A94" t="s">
        <v>725</v>
      </c>
    </row>
    <row r="95"/>
    <row r="96">
      <c r="A96" t="s">
        <v>726</v>
      </c>
    </row>
    <row r="97">
      <c r="B97" t="s">
        <v>722</v>
      </c>
      <c r="C97">
        <v>20.3</v>
      </c>
      <c r="D97" t="s">
        <v>630</v>
      </c>
    </row>
    <row r="98">
      <c r="B98" t="s">
        <v>567</v>
      </c>
      <c r="E98" s="1">
        <f>C97*10</f>
        <v>203</v>
      </c>
      <c r="F98" t="s">
        <v>204</v>
      </c>
    </row>
    <row r="99">
      <c r="B99" t="s">
        <v>568</v>
      </c>
      <c r="C99" t="s">
        <v>569</v>
      </c>
    </row>
    <row r="100" ht="14.25" customHeight="1">
      <c r="B100" t="s">
        <v>570</v>
      </c>
      <c r="E100" s="1">
        <f>E98*1000/$E$37/1000</f>
        <v>0.17846153846153845</v>
      </c>
      <c r="F100" s="1" t="s">
        <v>232</v>
      </c>
    </row>
    <row r="101">
      <c r="B101" t="s">
        <v>571</v>
      </c>
      <c r="C101" t="s">
        <v>572</v>
      </c>
      <c r="E101" s="1">
        <f>100*$D$77/(1000*$E$37)</f>
        <v>0.2473846153846154</v>
      </c>
    </row>
    <row r="102" ht="14.25" customHeight="1">
      <c r="B102" t="s">
        <v>573</v>
      </c>
      <c r="E102" s="1">
        <v>0.23</v>
      </c>
      <c r="F102" s="1" t="s">
        <v>232</v>
      </c>
    </row>
    <row r="103">
      <c r="B103" t="s">
        <v>574</v>
      </c>
    </row>
    <row r="104" ht="14.25" customHeight="1">
      <c r="B104" t="s">
        <v>575</v>
      </c>
      <c r="E104" s="1">
        <f>E102</f>
        <v>0.23</v>
      </c>
      <c r="F104" s="1" t="s">
        <v>232</v>
      </c>
    </row>
    <row r="105" ht="26.25" customHeight="1">
      <c r="D105" t="s">
        <v>727</v>
      </c>
    </row>
    <row r="106">
      <c r="A106" t="s">
        <v>723</v>
      </c>
    </row>
    <row r="107">
      <c r="A107" t="s">
        <v>724</v>
      </c>
    </row>
    <row r="108">
      <c r="A108" t="s">
        <v>725</v>
      </c>
    </row>
  </sheetData>
  <mergeCells count="4">
    <mergeCell ref="A21:B21"/>
    <mergeCell ref="A61:B61"/>
    <mergeCell ref="D87:G87"/>
    <mergeCell ref="D105:G105"/>
  </mergeCells>
  <pageMargins left="0.75" right="0.75" top="1" bottom="1" header="0.5" footer="0.5"/>
  <ignoredErrors>
    <ignoredError numberStoredAsText="1" sqref="A1:N108"/>
  </ignoredErrors>
</worksheet>
</file>

<file path=xl/worksheets/sheet17.xml><?xml version="1.0" encoding="utf-8"?>
<worksheet xmlns="http://schemas.openxmlformats.org/spreadsheetml/2006/main" xmlns:r="http://schemas.openxmlformats.org/officeDocument/2006/relationships">
  <dimension ref="A1:AE334"/>
  <sheetViews>
    <sheetView workbookViewId="0" rightToLeft="0"/>
  </sheetViews>
  <cols>
    <col min="1" max="1" customWidth="1" width="12.42578125"/>
    <col min="2" max="2" customWidth="1" width="5.28515625"/>
    <col min="3" max="3" customWidth="1" width="13.42578125"/>
    <col min="4" max="4" customWidth="1" width="12.42578125"/>
    <col min="5" max="5" customWidth="1" width="14"/>
    <col min="6" max="6" customWidth="1" width="9.7109375"/>
    <col min="7" max="7" customWidth="1" width="9"/>
    <col min="8" max="8" customWidth="1" width="10.140625"/>
    <col min="9" max="9" customWidth="1" width="13.28515625"/>
    <col min="10" max="10" customWidth="1" width="5.5703125"/>
    <col min="11" max="11" customWidth="1" width="3.8554687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10.85546875"/>
    <col min="19" max="19" customWidth="1" width="10.42578125"/>
    <col min="20" max="20" customWidth="1" width="15.140625"/>
    <col min="21" max="21" customWidth="1" width="11.85546875"/>
    <col min="22" max="22" customWidth="1" width="13.7109375"/>
    <col min="23" max="23" customWidth="1" width="11"/>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15.75" customHeight="1">
      <c r="A1" t="s">
        <v>728</v>
      </c>
    </row>
    <row r="2" ht="15.75" customHeight="1">
      <c r="A2" t="s">
        <v>729</v>
      </c>
    </row>
    <row r="3" ht="15.75" customHeight="1"/>
    <row r="4" ht="15.75" customHeight="1">
      <c r="A4" t="s">
        <v>730</v>
      </c>
    </row>
    <row r="5" ht="15.75" customHeight="1"/>
    <row r="6" ht="15.75" customHeight="1">
      <c r="A6" t="s">
        <v>731</v>
      </c>
      <c r="B6" t="s">
        <v>53</v>
      </c>
      <c r="C6">
        <v>0.3</v>
      </c>
      <c r="D6" t="s">
        <v>85</v>
      </c>
    </row>
    <row r="7" ht="15.75" customHeight="1">
      <c r="A7" t="s">
        <v>732</v>
      </c>
      <c r="B7" t="s">
        <v>53</v>
      </c>
      <c r="C7">
        <v>0.3</v>
      </c>
      <c r="D7" t="s">
        <v>85</v>
      </c>
    </row>
    <row r="9">
      <c r="A9" t="s">
        <v>733</v>
      </c>
    </row>
    <row r="10">
      <c r="A10" s="10" t="s">
        <v>734</v>
      </c>
      <c r="B10" t="s">
        <v>735</v>
      </c>
    </row>
    <row r="11">
      <c r="A11" s="10" t="s">
        <v>736</v>
      </c>
      <c r="B11" t="s">
        <v>737</v>
      </c>
    </row>
    <row r="12">
      <c r="A12" s="10" t="s">
        <v>738</v>
      </c>
      <c r="B12" t="s">
        <v>739</v>
      </c>
    </row>
    <row r="13">
      <c r="A13" s="10" t="s">
        <v>740</v>
      </c>
      <c r="B13" t="s">
        <v>741</v>
      </c>
    </row>
    <row r="14">
      <c r="A14" s="10" t="s">
        <v>742</v>
      </c>
      <c r="B14" t="s">
        <v>743</v>
      </c>
    </row>
    <row r="15"/>
    <row r="16">
      <c r="A16" t="s">
        <v>744</v>
      </c>
      <c r="C16" t="s">
        <v>745</v>
      </c>
    </row>
    <row r="18">
      <c r="A18" t="s">
        <v>746</v>
      </c>
      <c r="B18" t="s">
        <v>735</v>
      </c>
    </row>
    <row r="19">
      <c r="D19" t="s">
        <v>747</v>
      </c>
      <c r="E19" s="11">
        <f>VLOOKUP(span,AA27:AC39,2,0.1)</f>
        <v>80</v>
      </c>
    </row>
    <row r="20">
      <c r="E20">
        <f>VLOOKUP(span,AA27:AC39,3,0.1)</f>
        <v>3.65</v>
      </c>
    </row>
    <row r="21"/>
    <row r="22"/>
    <row r="23">
      <c r="E23" t="s">
        <v>748</v>
      </c>
    </row>
    <row r="25">
      <c r="A25">
        <v>0.3</v>
      </c>
      <c r="B25" t="s">
        <v>85</v>
      </c>
      <c r="C25" s="1">
        <f>7.6+0.375+0.375</f>
        <v>8.35</v>
      </c>
      <c r="D25" s="1" t="s">
        <v>85</v>
      </c>
      <c r="E25" t="s">
        <v>749</v>
      </c>
      <c r="F25" t="s">
        <v>732</v>
      </c>
      <c r="H25" s="12">
        <f>span</f>
        <v>8.35</v>
      </c>
      <c r="I25" s="13">
        <v>0.3</v>
      </c>
    </row>
    <row r="26">
      <c r="B26" t="s">
        <v>750</v>
      </c>
      <c r="E26" s="13">
        <v>0.3</v>
      </c>
      <c r="F26" s="13">
        <v>0.3</v>
      </c>
      <c r="I26" t="s">
        <v>751</v>
      </c>
      <c r="AA26" t="s">
        <v>752</v>
      </c>
      <c r="AB26" t="s">
        <v>753</v>
      </c>
      <c r="AC26" t="s">
        <v>754</v>
      </c>
    </row>
    <row r="27">
      <c r="AA27">
        <v>4.42</v>
      </c>
      <c r="AB27">
        <v>51</v>
      </c>
      <c r="AC27">
        <v>1.93</v>
      </c>
    </row>
    <row r="28">
      <c r="B28" t="s">
        <v>755</v>
      </c>
      <c r="C28" s="9" t="s">
        <f>CONCATENATE(E19,"*(",C25,"-",E20,"+",E26,")/",C25)</f>
        <v>756</v>
      </c>
      <c r="H28" t="s">
        <v>53</v>
      </c>
      <c r="I28" s="9">
        <f>E19*(C25-E20+1.6)/C25</f>
        <v>60.35928143712574</v>
      </c>
      <c r="J28" t="s">
        <v>757</v>
      </c>
      <c r="AA28">
        <v>5.79</v>
      </c>
      <c r="AB28">
        <v>68</v>
      </c>
      <c r="AC28">
        <v>2.895</v>
      </c>
    </row>
    <row r="29">
      <c r="B29" t="s">
        <v>758</v>
      </c>
      <c r="H29" t="s">
        <v>53</v>
      </c>
      <c r="I29" s="14">
        <v>0</v>
      </c>
      <c r="J29" t="s">
        <v>757</v>
      </c>
      <c r="AA29">
        <v>7.92</v>
      </c>
      <c r="AB29">
        <v>80</v>
      </c>
      <c r="AC29">
        <v>3.65</v>
      </c>
    </row>
    <row r="30">
      <c r="B30" t="s">
        <v>759</v>
      </c>
      <c r="H30" t="s">
        <v>53</v>
      </c>
      <c r="I30" s="14">
        <f>E19-I28</f>
        <v>19.640718562874262</v>
      </c>
      <c r="J30" t="s">
        <v>757</v>
      </c>
    </row>
    <row r="31">
      <c r="B31" t="s">
        <v>760</v>
      </c>
      <c r="D31" t="s">
        <f>CONCATENATE(ROUND(I28,1)," + ",ROUND(I29,1))</f>
        <v>761</v>
      </c>
      <c r="H31" t="s">
        <v>53</v>
      </c>
      <c r="I31" s="14">
        <f>I28+I29</f>
        <v>60.35928143712574</v>
      </c>
      <c r="J31" t="s">
        <v>757</v>
      </c>
      <c r="AA31">
        <v>9.44</v>
      </c>
      <c r="AB31">
        <v>92</v>
      </c>
      <c r="AC31">
        <v>4.4</v>
      </c>
    </row>
    <row r="32">
      <c r="B32" t="s">
        <v>762</v>
      </c>
      <c r="D32" t="s">
        <f>CONCATENATE("0.2*",E19)</f>
        <v>763</v>
      </c>
      <c r="H32" t="s">
        <v>53</v>
      </c>
      <c r="I32" s="9">
        <f>0.2*E19</f>
        <v>16</v>
      </c>
      <c r="J32" t="s">
        <v>757</v>
      </c>
      <c r="AA32">
        <v>13.4</v>
      </c>
      <c r="AB32">
        <v>100</v>
      </c>
      <c r="AC32">
        <v>5.12</v>
      </c>
    </row>
    <row r="33">
      <c r="B33" t="s">
        <v>764</v>
      </c>
      <c r="H33" t="s">
        <v>53</v>
      </c>
      <c r="I33" s="9">
        <v>485</v>
      </c>
      <c r="J33" t="s">
        <v>757</v>
      </c>
    </row>
    <row r="34"/>
    <row r="35">
      <c r="B35" t="s">
        <v>765</v>
      </c>
      <c r="H35" t="s">
        <v>53</v>
      </c>
      <c r="I35" s="1">
        <v>0</v>
      </c>
    </row>
    <row r="36">
      <c r="B36" t="s">
        <v>766</v>
      </c>
      <c r="H36" t="s">
        <v>53</v>
      </c>
      <c r="I36" s="9">
        <f>I35*(I33+I30)</f>
        <v>0</v>
      </c>
      <c r="J36" t="s">
        <v>757</v>
      </c>
    </row>
    <row r="37">
      <c r="B37" t="s">
        <v>767</v>
      </c>
      <c r="H37" t="s">
        <v>53</v>
      </c>
      <c r="I37" s="9">
        <f>MAX(I32/2+I36,I32-I36)</f>
        <v>16</v>
      </c>
      <c r="J37" t="s">
        <v>757</v>
      </c>
    </row>
    <row r="38">
      <c r="B38" t="s">
        <v>768</v>
      </c>
    </row>
    <row r="39">
      <c r="AA39">
        <f>$C$25+$A$25+($E$26-0.04)/2</f>
        <v>8.780000000000001</v>
      </c>
    </row>
    <row r="40">
      <c r="B40" t="s">
        <v>769</v>
      </c>
      <c r="F40" t="s">
        <v>770</v>
      </c>
    </row>
    <row r="41">
      <c r="C41" s="15">
        <v>2.595</v>
      </c>
      <c r="D41">
        <f>$E$44/2-C41</f>
        <v>1.605</v>
      </c>
    </row>
    <row r="42"/>
    <row r="43"/>
    <row r="44">
      <c r="E44">
        <v>8.4</v>
      </c>
      <c r="F44" t="s">
        <v>85</v>
      </c>
    </row>
    <row r="45">
      <c r="B45" t="s">
        <v>771</v>
      </c>
      <c r="H45" t="s">
        <v>53</v>
      </c>
      <c r="I45">
        <v>2.905</v>
      </c>
      <c r="J45" s="9" t="s">
        <v>85</v>
      </c>
    </row>
    <row r="46">
      <c r="B46" t="s">
        <v>772</v>
      </c>
      <c r="E46" s="9" t="s">
        <f>CONCATENATE(I45,"*","(",ROUND(I28,1)," + ",I29,")")</f>
        <v>773</v>
      </c>
      <c r="H46" t="s">
        <v>53</v>
      </c>
      <c r="I46" s="9">
        <f>I45*I28</f>
        <v>175.34371257485026</v>
      </c>
      <c r="J46" t="s">
        <v>774</v>
      </c>
    </row>
    <row r="47">
      <c r="B47" t="s">
        <v>775</v>
      </c>
      <c r="D47" s="9" t="s">
        <f>CONCATENATE(ROUND(I28,1),"*",C6,"-",ROUND(I29,1),"*",C7)</f>
        <v>776</v>
      </c>
      <c r="H47" t="s">
        <v>53</v>
      </c>
      <c r="I47" s="9">
        <f>I31*C6-I29*C7</f>
        <v>18.10778443113772</v>
      </c>
      <c r="J47" t="s">
        <v>774</v>
      </c>
    </row>
    <row r="48">
      <c r="B48" t="s">
        <v>777</v>
      </c>
      <c r="H48" t="s">
        <v>53</v>
      </c>
      <c r="I48" s="2">
        <f>I47/I31</f>
        <v>0.3</v>
      </c>
      <c r="J48" t="s">
        <v>85</v>
      </c>
    </row>
    <row r="50">
      <c r="A50" t="s">
        <v>778</v>
      </c>
      <c r="B50" t="s">
        <v>779</v>
      </c>
      <c r="AC50" t="s">
        <v>780</v>
      </c>
      <c r="AD50" t="s">
        <v>781</v>
      </c>
      <c r="AE50" t="s">
        <v>782</v>
      </c>
    </row>
    <row r="51">
      <c r="D51" t="s">
        <v>747</v>
      </c>
      <c r="E51" s="16">
        <v>55.4</v>
      </c>
      <c r="AC51">
        <v>5.5</v>
      </c>
      <c r="AD51">
        <v>29.6</v>
      </c>
      <c r="AE51">
        <v>1.73</v>
      </c>
    </row>
    <row r="52">
      <c r="E52">
        <v>9.7</v>
      </c>
      <c r="G52" s="9">
        <v>0</v>
      </c>
      <c r="AC52">
        <v>8.5</v>
      </c>
      <c r="AD52">
        <v>36.4</v>
      </c>
      <c r="AE52">
        <v>2.99</v>
      </c>
    </row>
    <row r="53">
      <c r="AC53">
        <v>11.5</v>
      </c>
      <c r="AD53">
        <v>43.2</v>
      </c>
      <c r="AE53">
        <v>4.33</v>
      </c>
    </row>
    <row r="54">
      <c r="AC54">
        <v>14.5</v>
      </c>
      <c r="AD54">
        <v>50</v>
      </c>
      <c r="AE54">
        <v>5.71</v>
      </c>
    </row>
    <row r="55">
      <c r="AC55">
        <v>24</v>
      </c>
      <c r="AD55">
        <v>50</v>
      </c>
      <c r="AE55">
        <v>5.71</v>
      </c>
    </row>
    <row r="56">
      <c r="AC56" s="1">
        <f>AA39</f>
        <v>8.780000000000001</v>
      </c>
    </row>
    <row r="57">
      <c r="A57">
        <f>A25</f>
        <v>0.3</v>
      </c>
      <c r="B57" t="s">
        <v>85</v>
      </c>
      <c r="C57" s="1">
        <f>C25</f>
        <v>8.35</v>
      </c>
      <c r="D57" s="1" t="s">
        <v>85</v>
      </c>
      <c r="E57" s="1" t="s">
        <v>731</v>
      </c>
      <c r="F57" t="s">
        <v>732</v>
      </c>
      <c r="H57" s="1">
        <f>H25</f>
        <v>8.35</v>
      </c>
      <c r="I57" t="s">
        <v>85</v>
      </c>
      <c r="J57">
        <f>I25</f>
        <v>0.3</v>
      </c>
      <c r="K57" t="s">
        <v>85</v>
      </c>
    </row>
    <row r="58">
      <c r="B58" t="s">
        <v>750</v>
      </c>
      <c r="E58" s="12">
        <f>+E26</f>
        <v>0.3</v>
      </c>
      <c r="F58" s="12">
        <v>0.3</v>
      </c>
      <c r="I58" t="s">
        <v>751</v>
      </c>
    </row>
    <row r="59"/>
    <row r="60">
      <c r="B60" t="s">
        <v>758</v>
      </c>
      <c r="C60" s="9" t="s">
        <f>CONCATENATE(G52,"*(",C57,"-",A57,")/",C57)</f>
        <v>783</v>
      </c>
      <c r="H60" t="s">
        <v>53</v>
      </c>
      <c r="I60" s="9">
        <f>G52*(C57-F52+A57)/C57</f>
        <v>0</v>
      </c>
      <c r="J60" t="s">
        <v>757</v>
      </c>
    </row>
    <row r="61">
      <c r="B61" t="s">
        <v>755</v>
      </c>
      <c r="C61" s="14" t="s">
        <f>CONCATENATE(E51,"*(",C57,"-",E52,"+",E58,"/2)/",C57)</f>
        <v>784</v>
      </c>
      <c r="H61" t="s">
        <v>53</v>
      </c>
      <c r="I61" s="14">
        <f>-E51*(C57-E52+E58)/C57</f>
        <v>6.966467065868261</v>
      </c>
      <c r="J61" t="s">
        <v>757</v>
      </c>
    </row>
    <row r="62">
      <c r="B62" t="s">
        <v>759</v>
      </c>
      <c r="H62" t="s">
        <v>53</v>
      </c>
      <c r="I62" s="14">
        <f>E51-I61</f>
        <v>48.43353293413174</v>
      </c>
      <c r="J62" t="s">
        <v>757</v>
      </c>
    </row>
    <row r="63">
      <c r="B63" t="s">
        <v>785</v>
      </c>
      <c r="D63" t="s">
        <f>CONCATENATE(ROUND(I62,1)," + ",ROUND(I61,1))</f>
        <v>786</v>
      </c>
      <c r="H63" t="s">
        <v>53</v>
      </c>
      <c r="I63" s="14">
        <f>I62+I61</f>
        <v>55.4</v>
      </c>
      <c r="J63" t="s">
        <v>757</v>
      </c>
    </row>
    <row r="64">
      <c r="B64" t="s">
        <v>762</v>
      </c>
      <c r="D64" s="9" t="s">
        <f>CONCATENATE(0.2,"*(",G52,"+",E51,")")</f>
        <v>787</v>
      </c>
      <c r="H64" t="s">
        <v>53</v>
      </c>
      <c r="I64" s="9">
        <f>0.2*(G52+E51)</f>
        <v>11.08</v>
      </c>
      <c r="J64" t="s">
        <v>757</v>
      </c>
    </row>
    <row r="65">
      <c r="B65" t="s">
        <v>764</v>
      </c>
      <c r="H65" t="s">
        <v>53</v>
      </c>
      <c r="I65" s="9">
        <f>I33</f>
        <v>485</v>
      </c>
      <c r="J65" t="s">
        <v>757</v>
      </c>
    </row>
    <row r="66">
      <c r="B66" t="s">
        <v>765</v>
      </c>
      <c r="H66" t="s">
        <v>53</v>
      </c>
      <c r="I66" s="1">
        <v>0</v>
      </c>
    </row>
    <row r="67">
      <c r="B67" t="s">
        <v>766</v>
      </c>
      <c r="H67" t="s">
        <v>53</v>
      </c>
      <c r="I67" s="9">
        <f>I66*(I65+I62)</f>
        <v>0</v>
      </c>
      <c r="J67" t="s">
        <v>757</v>
      </c>
    </row>
    <row r="68">
      <c r="B68" t="s">
        <v>767</v>
      </c>
      <c r="H68" t="s">
        <v>53</v>
      </c>
      <c r="I68" s="9">
        <f>MAX(I64/2+I67,I64-I67)</f>
        <v>11.08</v>
      </c>
      <c r="J68" t="s">
        <v>757</v>
      </c>
    </row>
    <row r="69">
      <c r="B69" t="s">
        <v>768</v>
      </c>
    </row>
    <row r="70"/>
    <row r="71">
      <c r="B71" t="s">
        <v>788</v>
      </c>
      <c r="F71" t="s">
        <v>770</v>
      </c>
    </row>
    <row r="72">
      <c r="C72" s="17">
        <v>1.3</v>
      </c>
      <c r="D72" s="17">
        <f>E75/2-C72</f>
        <v>2.9000000000000004</v>
      </c>
    </row>
    <row r="73"/>
    <row r="74"/>
    <row r="75">
      <c r="E75">
        <f>E44</f>
        <v>8.4</v>
      </c>
      <c r="F75" t="s">
        <v>85</v>
      </c>
    </row>
    <row r="76">
      <c r="B76" t="s">
        <v>771</v>
      </c>
      <c r="H76" t="s">
        <v>53</v>
      </c>
      <c r="I76" s="1">
        <f>D72</f>
        <v>2.9000000000000004</v>
      </c>
      <c r="J76" s="9" t="s">
        <v>85</v>
      </c>
    </row>
    <row r="77">
      <c r="B77" t="s">
        <v>772</v>
      </c>
      <c r="E77" s="9" t="s">
        <f>CONCATENATE(I76,"*",ROUND(I63,1))</f>
        <v>789</v>
      </c>
      <c r="H77" t="s">
        <v>53</v>
      </c>
      <c r="I77" s="9">
        <f>I76*I63</f>
        <v>160.66000000000003</v>
      </c>
      <c r="J77" t="s">
        <v>774</v>
      </c>
    </row>
    <row r="78">
      <c r="B78" t="s">
        <v>775</v>
      </c>
      <c r="D78" s="9" t="s">
        <f>CONCATENATE(ROUND(I61,1),"*",C6,"-",ROUND(I60,1),"*",C7)</f>
        <v>790</v>
      </c>
      <c r="H78" t="s">
        <v>53</v>
      </c>
      <c r="I78" s="9">
        <f>I61*C6-I60*C7</f>
        <v>2.0899401197604783</v>
      </c>
      <c r="J78" t="s">
        <v>774</v>
      </c>
    </row>
    <row r="79">
      <c r="B79" t="s">
        <v>777</v>
      </c>
      <c r="H79" t="s">
        <v>53</v>
      </c>
      <c r="I79" s="2">
        <f>I78/I63</f>
        <v>0.037724550898203583</v>
      </c>
      <c r="J79" t="s">
        <v>85</v>
      </c>
    </row>
    <row r="80"/>
    <row r="81"/>
    <row r="82">
      <c r="A82" t="s">
        <v>791</v>
      </c>
      <c r="B82" t="s">
        <v>792</v>
      </c>
    </row>
    <row r="84">
      <c r="B84" t="s">
        <v>758</v>
      </c>
      <c r="C84" s="9" t="s">
        <f>CONCATENATE("2*",ROUND(I60,1))</f>
        <v>793</v>
      </c>
      <c r="H84" t="s">
        <v>53</v>
      </c>
      <c r="I84" s="9">
        <f>2*I60</f>
        <v>0</v>
      </c>
      <c r="J84" t="s">
        <v>757</v>
      </c>
    </row>
    <row r="85">
      <c r="B85" t="s">
        <v>755</v>
      </c>
      <c r="C85" s="9" t="s">
        <f>CONCATENATE("2*",ROUND(I61,1))</f>
        <v>794</v>
      </c>
      <c r="H85" t="s">
        <v>53</v>
      </c>
      <c r="I85" s="14">
        <f>2*I61</f>
        <v>13.932934131736522</v>
      </c>
      <c r="J85" t="s">
        <v>757</v>
      </c>
    </row>
    <row r="86">
      <c r="B86" t="s">
        <v>759</v>
      </c>
      <c r="H86" t="s">
        <v>53</v>
      </c>
      <c r="I86" s="14">
        <f>2*E51-I85</f>
        <v>96.86706586826348</v>
      </c>
      <c r="J86" t="s">
        <v>757</v>
      </c>
    </row>
    <row r="87">
      <c r="B87" t="s">
        <v>785</v>
      </c>
      <c r="D87" t="s">
        <f>CONCATENATE(ROUND(I84,1)," + ",ROUND(I85,1))</f>
        <v>795</v>
      </c>
      <c r="H87" t="s">
        <v>53</v>
      </c>
      <c r="I87" s="14">
        <f>I84+I85</f>
        <v>13.932934131736522</v>
      </c>
      <c r="J87" t="s">
        <v>757</v>
      </c>
    </row>
    <row r="88">
      <c r="B88" t="s">
        <v>796</v>
      </c>
      <c r="H88" t="s">
        <v>53</v>
      </c>
      <c r="I88" s="9">
        <f>I64</f>
        <v>11.08</v>
      </c>
      <c r="J88" t="s">
        <v>757</v>
      </c>
    </row>
    <row r="89">
      <c r="B89" t="s">
        <v>764</v>
      </c>
      <c r="H89" t="s">
        <v>53</v>
      </c>
      <c r="I89" s="9">
        <f>I33</f>
        <v>485</v>
      </c>
      <c r="J89" t="s">
        <v>757</v>
      </c>
    </row>
    <row r="90">
      <c r="B90" t="s">
        <v>765</v>
      </c>
      <c r="H90" t="s">
        <v>53</v>
      </c>
      <c r="I90" s="1">
        <v>0</v>
      </c>
    </row>
    <row r="91">
      <c r="B91" t="s">
        <v>766</v>
      </c>
      <c r="H91" t="s">
        <v>53</v>
      </c>
      <c r="I91" s="9">
        <f>I90*(I89+I86)</f>
        <v>0</v>
      </c>
      <c r="J91" t="s">
        <v>757</v>
      </c>
    </row>
    <row r="92">
      <c r="B92" t="s">
        <v>767</v>
      </c>
      <c r="H92" t="s">
        <v>53</v>
      </c>
      <c r="I92" s="9">
        <f>MAX(I88/2+I91,I88-I91)</f>
        <v>11.08</v>
      </c>
      <c r="J92" t="s">
        <v>757</v>
      </c>
    </row>
    <row r="93">
      <c r="B93" t="s">
        <v>768</v>
      </c>
    </row>
    <row r="94"/>
    <row r="95">
      <c r="B95" t="s">
        <v>797</v>
      </c>
      <c r="F95" t="s">
        <v>770</v>
      </c>
    </row>
    <row r="96">
      <c r="C96" s="17">
        <v>3.05</v>
      </c>
      <c r="D96">
        <f>E99/2-C96</f>
        <v>1.1500000000000004</v>
      </c>
    </row>
    <row r="97"/>
    <row r="98"/>
    <row r="99">
      <c r="E99">
        <f>E44</f>
        <v>8.4</v>
      </c>
      <c r="F99" t="s">
        <v>85</v>
      </c>
    </row>
    <row r="100">
      <c r="B100" t="s">
        <v>771</v>
      </c>
      <c r="H100" t="s">
        <v>53</v>
      </c>
      <c r="I100" s="1">
        <f>D96</f>
        <v>1.1500000000000004</v>
      </c>
      <c r="J100" s="9" t="s">
        <v>85</v>
      </c>
    </row>
    <row r="101">
      <c r="B101" t="s">
        <v>772</v>
      </c>
      <c r="E101" s="9" t="s">
        <f>CONCATENATE(I100,"*",ROUND(I87,1))</f>
        <v>798</v>
      </c>
      <c r="H101" t="s">
        <v>53</v>
      </c>
      <c r="I101" s="9">
        <f>I87*I100</f>
        <v>16.022874251497004</v>
      </c>
      <c r="J101" t="s">
        <v>774</v>
      </c>
    </row>
    <row r="102">
      <c r="B102" t="s">
        <v>775</v>
      </c>
      <c r="D102" s="9" t="s">
        <f>CONCATENATE(ROUND(I85,1),"*",C6,"-",ROUND(I84,1),"*",C7)</f>
        <v>799</v>
      </c>
      <c r="H102" t="s">
        <v>53</v>
      </c>
      <c r="I102" s="9">
        <f>ABS(I85*C6-I84*C7)</f>
        <v>4.179880239520957</v>
      </c>
      <c r="J102" t="s">
        <v>774</v>
      </c>
    </row>
    <row r="103">
      <c r="B103" t="s">
        <v>777</v>
      </c>
      <c r="H103" t="s">
        <v>53</v>
      </c>
      <c r="I103" s="2">
        <f>I102/I87</f>
        <v>0.3</v>
      </c>
      <c r="J103" t="s">
        <v>85</v>
      </c>
    </row>
    <row r="104"/>
    <row r="106">
      <c r="A106" t="s">
        <v>800</v>
      </c>
      <c r="B106" t="s">
        <v>801</v>
      </c>
    </row>
    <row r="108">
      <c r="B108" t="s">
        <v>758</v>
      </c>
      <c r="C108" s="9" t="s">
        <f>CONCATENATE("90% of"," 3*",ROUND(I60,1))</f>
        <v>802</v>
      </c>
      <c r="H108" t="s">
        <v>53</v>
      </c>
      <c r="I108" s="9">
        <f>0.9*3*I60</f>
        <v>0</v>
      </c>
      <c r="J108" t="s">
        <v>757</v>
      </c>
    </row>
    <row r="109">
      <c r="B109" t="s">
        <v>755</v>
      </c>
      <c r="C109" s="9" t="s">
        <f>CONCATENATE("90% of"," 3*",ROUND(I61,1))</f>
        <v>803</v>
      </c>
      <c r="H109" t="s">
        <v>53</v>
      </c>
      <c r="I109" s="14">
        <f>0.9*3*I61</f>
        <v>18.809461077844304</v>
      </c>
      <c r="J109" t="s">
        <v>757</v>
      </c>
    </row>
    <row r="110">
      <c r="B110" t="s">
        <v>759</v>
      </c>
      <c r="H110" t="s">
        <v>53</v>
      </c>
      <c r="I110" s="14">
        <f>load1*0.9*3-I109</f>
        <v>61.1105389221557</v>
      </c>
      <c r="J110" t="s">
        <v>757</v>
      </c>
    </row>
    <row r="111">
      <c r="B111" t="s">
        <v>785</v>
      </c>
      <c r="D111" t="s">
        <f>CONCATENATE(ROUND(I108,1)," + ",ROUND(I109,1))</f>
        <v>804</v>
      </c>
      <c r="I111" s="14">
        <f>I108+I109</f>
        <v>18.809461077844304</v>
      </c>
    </row>
    <row r="112">
      <c r="B112" t="s">
        <v>762</v>
      </c>
      <c r="D112" s="9" t="s">
        <f>CONCATENATE("(0.2)*",55.4,"+","0.05*",55.4)</f>
        <v>805</v>
      </c>
      <c r="H112" t="s">
        <v>53</v>
      </c>
      <c r="I112" s="9">
        <f>(0.2)*55.4+(0.05)*55.4</f>
        <v>13.85</v>
      </c>
      <c r="J112" t="s">
        <v>757</v>
      </c>
    </row>
    <row r="113">
      <c r="B113" t="s">
        <v>806</v>
      </c>
    </row>
    <row r="114">
      <c r="B114" t="s">
        <v>764</v>
      </c>
      <c r="H114" t="s">
        <v>53</v>
      </c>
      <c r="I114" s="9">
        <f>I33</f>
        <v>485</v>
      </c>
      <c r="J114" t="s">
        <v>757</v>
      </c>
    </row>
    <row r="115">
      <c r="B115" t="s">
        <v>765</v>
      </c>
      <c r="H115" t="s">
        <v>53</v>
      </c>
      <c r="I115" s="1">
        <v>0</v>
      </c>
    </row>
    <row r="116">
      <c r="B116" t="s">
        <v>766</v>
      </c>
      <c r="H116" t="s">
        <v>53</v>
      </c>
      <c r="I116" s="9">
        <f>I115*(I114+I111)</f>
        <v>0</v>
      </c>
      <c r="J116" t="s">
        <v>757</v>
      </c>
    </row>
    <row r="117">
      <c r="B117" t="s">
        <v>767</v>
      </c>
      <c r="H117" t="s">
        <v>53</v>
      </c>
      <c r="I117" s="9">
        <f>MAX(I112/2+I116,I112-I116)</f>
        <v>13.85</v>
      </c>
      <c r="J117" t="s">
        <v>757</v>
      </c>
    </row>
    <row r="118">
      <c r="B118" t="s">
        <v>768</v>
      </c>
    </row>
    <row r="119"/>
    <row r="120">
      <c r="B120" t="s">
        <v>807</v>
      </c>
      <c r="F120" t="s">
        <v>770</v>
      </c>
    </row>
    <row r="121">
      <c r="C121" s="17">
        <v>4.8</v>
      </c>
      <c r="E121">
        <f>E124/2-C121</f>
        <v>0.7000000000000002</v>
      </c>
    </row>
    <row r="122"/>
    <row r="123"/>
    <row r="124">
      <c r="E124">
        <v>11</v>
      </c>
      <c r="F124" t="s">
        <v>85</v>
      </c>
    </row>
    <row r="125">
      <c r="B125" t="s">
        <v>771</v>
      </c>
      <c r="H125" t="s">
        <v>53</v>
      </c>
      <c r="I125" s="1">
        <f>E121</f>
        <v>0.7000000000000002</v>
      </c>
      <c r="J125" s="9" t="s">
        <v>85</v>
      </c>
    </row>
    <row r="126">
      <c r="B126" t="s">
        <v>772</v>
      </c>
      <c r="E126" s="9" t="s">
        <f>CONCATENATE(I125,"*",ROUND(I111,1))</f>
        <v>808</v>
      </c>
      <c r="H126" t="s">
        <v>53</v>
      </c>
      <c r="I126" s="9">
        <f>I125*I111</f>
        <v>13.166622754491016</v>
      </c>
      <c r="J126" t="s">
        <v>774</v>
      </c>
    </row>
    <row r="127">
      <c r="B127" t="s">
        <v>775</v>
      </c>
      <c r="D127" s="9" t="s">
        <f>CONCATENATE(ROUND(I109,1),"*",C6,"-",ROUND(I108,1),"*",C7)</f>
        <v>809</v>
      </c>
      <c r="H127" t="s">
        <v>53</v>
      </c>
      <c r="I127" s="9">
        <f>ABS(I109*C6-I108*C7)</f>
        <v>5.642838323353291</v>
      </c>
      <c r="J127" t="s">
        <v>774</v>
      </c>
    </row>
    <row r="128">
      <c r="B128" t="s">
        <v>777</v>
      </c>
      <c r="H128" t="s">
        <v>53</v>
      </c>
      <c r="I128" s="2">
        <f>I127/I111</f>
        <v>0.3</v>
      </c>
      <c r="J128" t="s">
        <v>85</v>
      </c>
    </row>
    <row r="130">
      <c r="A130" t="s">
        <v>810</v>
      </c>
      <c r="B130" t="s">
        <v>811</v>
      </c>
    </row>
    <row r="132">
      <c r="B132" t="s">
        <v>758</v>
      </c>
      <c r="C132" s="9" t="s">
        <f>CONCATENATE("90% of","(",ROUND(I60,2),"+",ROUND(I29,2),")")</f>
        <v>812</v>
      </c>
      <c r="H132" t="s">
        <v>53</v>
      </c>
      <c r="I132" s="9">
        <f>0.9*(I60+I29)</f>
        <v>0</v>
      </c>
      <c r="J132" t="s">
        <v>757</v>
      </c>
    </row>
    <row r="133">
      <c r="B133" t="s">
        <v>755</v>
      </c>
      <c r="C133" s="9" t="s">
        <f>CONCATENATE("90% of","(",ROUND(I61,2),"+",ROUND(I28,2),")")</f>
        <v>813</v>
      </c>
      <c r="H133" t="s">
        <v>53</v>
      </c>
      <c r="I133" s="9">
        <f>0.9*(I61+I28)</f>
        <v>60.5931736526946</v>
      </c>
      <c r="J133" t="s">
        <v>757</v>
      </c>
    </row>
    <row r="134">
      <c r="B134" t="s">
        <v>759</v>
      </c>
      <c r="H134" t="s">
        <v>53</v>
      </c>
      <c r="I134" s="14">
        <f>(E51+E19)*0.9-I133</f>
        <v>61.26682634730541</v>
      </c>
      <c r="J134" t="s">
        <v>757</v>
      </c>
    </row>
    <row r="135">
      <c r="B135" t="s">
        <v>814</v>
      </c>
      <c r="D135" s="9" t="s">
        <f>CONCATENATE(I32," + ","5% of ",55.4)</f>
        <v>815</v>
      </c>
      <c r="H135" t="s">
        <v>53</v>
      </c>
      <c r="I135" s="9">
        <f>I32+0.05*55.4</f>
        <v>18.77</v>
      </c>
      <c r="J135" t="s">
        <v>757</v>
      </c>
    </row>
    <row r="136">
      <c r="B136" t="s">
        <v>816</v>
      </c>
    </row>
    <row r="137">
      <c r="B137" t="s">
        <v>764</v>
      </c>
      <c r="H137" t="s">
        <v>53</v>
      </c>
      <c r="I137" s="9">
        <f>I33</f>
        <v>485</v>
      </c>
      <c r="J137" t="s">
        <v>757</v>
      </c>
    </row>
    <row r="138">
      <c r="B138" t="s">
        <v>765</v>
      </c>
      <c r="H138" t="s">
        <v>53</v>
      </c>
      <c r="I138" s="1">
        <v>0</v>
      </c>
    </row>
    <row r="139">
      <c r="B139" t="s">
        <v>766</v>
      </c>
      <c r="H139" t="s">
        <v>53</v>
      </c>
      <c r="I139" s="9">
        <f>I138*(I137+I134)</f>
        <v>0</v>
      </c>
      <c r="J139" t="s">
        <v>757</v>
      </c>
    </row>
    <row r="140">
      <c r="B140" t="s">
        <v>767</v>
      </c>
      <c r="H140" t="s">
        <v>53</v>
      </c>
      <c r="I140" s="9">
        <f>MAX(I135/2+I139,I135-I139)</f>
        <v>18.77</v>
      </c>
      <c r="J140" t="s">
        <v>757</v>
      </c>
    </row>
    <row r="141">
      <c r="B141" t="s">
        <v>768</v>
      </c>
    </row>
    <row r="142"/>
    <row r="143">
      <c r="B143" t="s">
        <v>817</v>
      </c>
      <c r="F143" t="s">
        <v>770</v>
      </c>
      <c r="H143" t="s">
        <v>818</v>
      </c>
    </row>
    <row r="144">
      <c r="C144" s="15">
        <v>2.595</v>
      </c>
      <c r="D144" s="2">
        <v>2.905</v>
      </c>
      <c r="F144">
        <v>0.84</v>
      </c>
    </row>
    <row r="145"/>
    <row r="146"/>
    <row r="147">
      <c r="E147">
        <f>E99</f>
        <v>8.4</v>
      </c>
    </row>
    <row r="148">
      <c r="B148" t="s">
        <v>819</v>
      </c>
      <c r="H148" t="s">
        <v>53</v>
      </c>
      <c r="I148" s="2">
        <f>D144</f>
        <v>2.905</v>
      </c>
      <c r="J148" s="9" t="s">
        <v>85</v>
      </c>
    </row>
    <row r="149">
      <c r="B149" t="s">
        <v>820</v>
      </c>
      <c r="H149" t="s">
        <v>53</v>
      </c>
      <c r="I149" s="1">
        <f>-F144</f>
        <v>-0.84</v>
      </c>
      <c r="J149" s="9" t="s">
        <v>85</v>
      </c>
    </row>
    <row r="150">
      <c r="B150" t="s">
        <v>821</v>
      </c>
      <c r="D150" s="9" t="s">
        <f>CONCATENATE("0.9*(",ROUND(I31,1),"*",ROUND(I148,3),"-",ROUND(I63,1),"*",ROUND(I149,3),")")</f>
        <v>822</v>
      </c>
      <c r="H150" t="s">
        <v>53</v>
      </c>
      <c r="I150" s="9">
        <f>0.9*(I31*I148+I63*I149)</f>
        <v>115.92694131736523</v>
      </c>
    </row>
    <row r="151">
      <c r="B151" t="s">
        <v>823</v>
      </c>
      <c r="H151" t="s">
        <v>53</v>
      </c>
      <c r="I151" s="2">
        <f>I150/(I132+I133)</f>
        <v>1.9132013447889424</v>
      </c>
      <c r="J151" t="s">
        <v>774</v>
      </c>
    </row>
    <row r="152">
      <c r="B152" t="s">
        <v>775</v>
      </c>
      <c r="D152" s="9" t="s">
        <f>CONCATENATE(ROUND(I133,1),"*",C6,"-",ROUND(I132,1),"*",C7)</f>
        <v>824</v>
      </c>
      <c r="H152" t="s">
        <v>53</v>
      </c>
      <c r="I152" s="9">
        <f>ABS(I133*C6-I132*C7)</f>
        <v>18.17795209580838</v>
      </c>
      <c r="J152" t="s">
        <v>774</v>
      </c>
    </row>
    <row r="153">
      <c r="B153" t="s">
        <v>777</v>
      </c>
      <c r="H153" t="s">
        <v>53</v>
      </c>
      <c r="I153" s="2">
        <f>I152/(I132+I133)</f>
        <v>0.3</v>
      </c>
      <c r="J153" t="s">
        <v>85</v>
      </c>
    </row>
    <row r="154"/>
    <row r="155"/>
    <row r="156" ht="15" customHeight="1">
      <c r="A156" t="s">
        <v>825</v>
      </c>
      <c r="C156" s="14" t="s">
        <v>826</v>
      </c>
    </row>
    <row r="157"/>
    <row r="158" ht="13.5" customHeight="1"/>
    <row r="159">
      <c r="A159" t="s">
        <v>827</v>
      </c>
      <c r="C159" t="s">
        <v>828</v>
      </c>
      <c r="U159" t="s">
        <v>829</v>
      </c>
      <c r="AA159" t="s">
        <v>830</v>
      </c>
    </row>
    <row r="160">
      <c r="U160" t="s">
        <v>780</v>
      </c>
      <c r="V160" t="s">
        <v>781</v>
      </c>
      <c r="W160" t="s">
        <v>782</v>
      </c>
      <c r="AA160" t="s">
        <v>780</v>
      </c>
      <c r="AB160" t="s">
        <v>781</v>
      </c>
      <c r="AC160" t="s">
        <v>782</v>
      </c>
    </row>
    <row r="161">
      <c r="E161" s="18">
        <f>H161+C162</f>
        <v>100</v>
      </c>
      <c r="G161" t="s">
        <v>747</v>
      </c>
      <c r="H161" s="9">
        <f>IF(C162=49,51,34)</f>
        <v>51</v>
      </c>
      <c r="U161">
        <v>8.28</v>
      </c>
      <c r="V161">
        <v>49</v>
      </c>
      <c r="W161">
        <v>3.33</v>
      </c>
      <c r="AA161">
        <v>3</v>
      </c>
      <c r="AB161">
        <v>80</v>
      </c>
      <c r="AC161">
        <v>3.65</v>
      </c>
    </row>
    <row r="162">
      <c r="B162" t="s">
        <v>747</v>
      </c>
      <c r="C162" s="19">
        <f>IF(U165&gt;=8.28,49,58)</f>
        <v>49</v>
      </c>
      <c r="D162">
        <f>VLOOKUP(C162,V161:W162,2,0.1)</f>
        <v>3.33</v>
      </c>
      <c r="F162">
        <v>5.12</v>
      </c>
      <c r="U162">
        <v>5.04</v>
      </c>
      <c r="V162">
        <v>58</v>
      </c>
      <c r="W162">
        <v>2.18</v>
      </c>
      <c r="AA162">
        <v>4.52</v>
      </c>
      <c r="AB162">
        <v>92</v>
      </c>
      <c r="AC162">
        <v>4.4</v>
      </c>
    </row>
    <row r="163">
      <c r="AA163">
        <v>8.48</v>
      </c>
      <c r="AB163">
        <v>100</v>
      </c>
      <c r="AC163">
        <v>5.12</v>
      </c>
    </row>
    <row r="164">
      <c r="F164">
        <f>VLOOKUP(H161,V168:W169,2,0.1)</f>
        <v>3.19</v>
      </c>
      <c r="AA164">
        <v>24</v>
      </c>
      <c r="AB164">
        <v>100</v>
      </c>
      <c r="AC164">
        <v>5.12</v>
      </c>
    </row>
    <row r="165" ht="13.5" customHeight="1">
      <c r="E165" t="s">
        <v>748</v>
      </c>
      <c r="U165" s="1">
        <f>A167+C167+E168</f>
        <v>8.950000000000001</v>
      </c>
      <c r="AA165" s="1">
        <f>$C$25+$A$25+($E$26)</f>
        <v>8.950000000000001</v>
      </c>
    </row>
    <row r="166" ht="13.5" customHeight="1"/>
    <row r="167">
      <c r="A167">
        <v>0.3</v>
      </c>
      <c r="B167" t="s">
        <v>85</v>
      </c>
      <c r="C167" s="1">
        <f>H25</f>
        <v>8.35</v>
      </c>
      <c r="D167" s="1" t="s">
        <v>85</v>
      </c>
      <c r="E167" t="s">
        <v>731</v>
      </c>
      <c r="F167" t="s">
        <v>732</v>
      </c>
      <c r="H167" s="1">
        <f>C25</f>
        <v>8.35</v>
      </c>
      <c r="I167" s="1" t="s">
        <v>85</v>
      </c>
      <c r="J167" s="20">
        <v>1.6</v>
      </c>
      <c r="U167" t="s">
        <v>830</v>
      </c>
      <c r="AA167" t="s">
        <v>829</v>
      </c>
    </row>
    <row r="168">
      <c r="B168" t="s">
        <v>750</v>
      </c>
      <c r="E168" s="12">
        <v>0.3</v>
      </c>
      <c r="F168" s="12">
        <v>1.6</v>
      </c>
      <c r="I168" t="s">
        <v>751</v>
      </c>
      <c r="U168">
        <v>4.4</v>
      </c>
      <c r="V168">
        <v>34</v>
      </c>
      <c r="W168">
        <v>3.715</v>
      </c>
      <c r="AA168">
        <v>3</v>
      </c>
      <c r="AB168">
        <v>17</v>
      </c>
      <c r="AC168">
        <v>0.87</v>
      </c>
    </row>
    <row r="169">
      <c r="U169">
        <v>5.12</v>
      </c>
      <c r="V169">
        <v>51</v>
      </c>
      <c r="W169">
        <v>3.19</v>
      </c>
      <c r="AA169">
        <v>4.52</v>
      </c>
      <c r="AB169">
        <v>29</v>
      </c>
      <c r="AC169">
        <v>1.75</v>
      </c>
    </row>
    <row r="170">
      <c r="B170" t="s">
        <v>755</v>
      </c>
      <c r="C170" s="9" t="s">
        <f>CONCATENATE(C162,"*(",C167," - ",D162," + ",E168,")/",C167)</f>
        <v>831</v>
      </c>
      <c r="H170" t="s">
        <v>53</v>
      </c>
      <c r="I170" s="1">
        <f>C162*(C167-D162+E168)/C167</f>
        <v>31.219161676646703</v>
      </c>
      <c r="J170" t="s">
        <v>757</v>
      </c>
      <c r="AA170">
        <v>8.48</v>
      </c>
      <c r="AB170">
        <v>41</v>
      </c>
      <c r="AC170">
        <v>2.56</v>
      </c>
    </row>
    <row r="171">
      <c r="B171" t="s">
        <v>758</v>
      </c>
      <c r="C171" s="14" t="s">
        <f>CONCATENATE(H161,"*(",H167,"-",F164,"+",F168,")/",H167)</f>
        <v>832</v>
      </c>
      <c r="H171" t="s">
        <v>53</v>
      </c>
      <c r="I171" s="17">
        <f>H161*(H167-F164-F168)/H167</f>
        <v>21.7437125748503</v>
      </c>
      <c r="J171" t="s">
        <v>757</v>
      </c>
      <c r="AA171">
        <v>24</v>
      </c>
      <c r="AB171">
        <v>49</v>
      </c>
      <c r="AC171">
        <v>3.53</v>
      </c>
    </row>
    <row r="172" ht="13.5" customHeight="1">
      <c r="B172" t="s">
        <v>759</v>
      </c>
      <c r="H172" t="s">
        <v>53</v>
      </c>
      <c r="I172" s="14">
        <f>C162-I171</f>
        <v>27.2562874251497</v>
      </c>
      <c r="J172" t="s">
        <v>757</v>
      </c>
      <c r="U172" s="1">
        <f>F168+H167+J167</f>
        <v>11.549999999999999</v>
      </c>
    </row>
    <row r="173" ht="13.5" customHeight="1">
      <c r="B173" t="s">
        <v>833</v>
      </c>
      <c r="D173" t="s">
        <f>CONCATENATE(ROUND(I170,1)," + ",ROUND(I171,1))</f>
        <v>834</v>
      </c>
      <c r="H173" t="s">
        <v>53</v>
      </c>
      <c r="I173" s="14">
        <f>ROUND(I170+I171,0)</f>
        <v>53</v>
      </c>
      <c r="J173" t="s">
        <v>757</v>
      </c>
      <c r="AA173" s="1">
        <f>$C$25+$A$25+($E$26)</f>
        <v>8.950000000000001</v>
      </c>
    </row>
    <row r="174">
      <c r="B174" t="s">
        <v>762</v>
      </c>
      <c r="D174" t="s">
        <f>CONCATENATE("0.2*",E161)</f>
        <v>835</v>
      </c>
      <c r="H174" t="s">
        <v>53</v>
      </c>
      <c r="I174" s="9">
        <f>0.2*E161</f>
        <v>20</v>
      </c>
      <c r="J174" t="s">
        <v>757</v>
      </c>
    </row>
    <row r="175">
      <c r="B175" t="s">
        <v>764</v>
      </c>
      <c r="H175" t="s">
        <v>53</v>
      </c>
      <c r="I175" s="9">
        <f>I33</f>
        <v>485</v>
      </c>
      <c r="J175" t="s">
        <v>757</v>
      </c>
    </row>
    <row r="176">
      <c r="B176" t="s">
        <v>765</v>
      </c>
      <c r="H176" t="s">
        <v>53</v>
      </c>
      <c r="I176" s="1">
        <v>0</v>
      </c>
    </row>
    <row r="177">
      <c r="B177" t="s">
        <v>766</v>
      </c>
      <c r="H177" t="s">
        <v>53</v>
      </c>
      <c r="I177" s="9">
        <f>I176*(I175+I172)</f>
        <v>0</v>
      </c>
      <c r="J177" t="s">
        <v>757</v>
      </c>
    </row>
    <row r="178">
      <c r="B178" t="s">
        <v>767</v>
      </c>
      <c r="H178" t="s">
        <v>53</v>
      </c>
      <c r="I178" s="9">
        <f>MAX(I174/2+I177,I174-I177)</f>
        <v>20</v>
      </c>
      <c r="J178" t="s">
        <v>757</v>
      </c>
    </row>
    <row r="179">
      <c r="B179" t="s">
        <v>768</v>
      </c>
    </row>
    <row r="180"/>
    <row r="181">
      <c r="B181" t="s">
        <v>769</v>
      </c>
      <c r="F181" t="s">
        <v>770</v>
      </c>
    </row>
    <row r="182">
      <c r="C182" s="15">
        <v>2.595</v>
      </c>
      <c r="D182">
        <f>$E$44/2-C182</f>
        <v>1.605</v>
      </c>
    </row>
    <row r="183"/>
    <row r="184"/>
    <row r="185">
      <c r="E185">
        <f>E147</f>
        <v>8.4</v>
      </c>
      <c r="F185" t="s">
        <v>85</v>
      </c>
    </row>
    <row r="186">
      <c r="B186" t="s">
        <v>771</v>
      </c>
      <c r="H186" t="s">
        <v>53</v>
      </c>
      <c r="I186">
        <v>2.905</v>
      </c>
      <c r="J186" s="9" t="s">
        <v>85</v>
      </c>
    </row>
    <row r="187">
      <c r="B187" t="s">
        <v>772</v>
      </c>
      <c r="E187" s="9" t="s">
        <f>CONCATENATE(I186,"*","(",ROUND(I170,1)," + ",ROUND(I171,1),")")</f>
        <v>836</v>
      </c>
      <c r="H187" t="s">
        <v>53</v>
      </c>
      <c r="I187" s="9">
        <f>I186*I173</f>
        <v>153.965</v>
      </c>
      <c r="J187" t="s">
        <v>774</v>
      </c>
    </row>
    <row r="188">
      <c r="B188" t="s">
        <v>775</v>
      </c>
      <c r="D188" s="9" t="s">
        <f>CONCATENATE(ROUND(I170,2),"*",C6,"-",ROUND(I171,2),"*",C7)</f>
        <v>837</v>
      </c>
      <c r="H188" t="s">
        <v>53</v>
      </c>
      <c r="I188" s="9">
        <f>ABS(I170*C6-I171*C7)</f>
        <v>2.8426347305389212</v>
      </c>
      <c r="J188" t="s">
        <v>774</v>
      </c>
    </row>
    <row r="189">
      <c r="B189" t="s">
        <v>777</v>
      </c>
      <c r="H189" t="s">
        <v>53</v>
      </c>
      <c r="I189" s="2">
        <f>I188/I173</f>
        <v>0.053634617557338136</v>
      </c>
      <c r="J189" t="s">
        <v>85</v>
      </c>
    </row>
    <row r="190"/>
    <row r="191">
      <c r="A191" t="s">
        <v>838</v>
      </c>
      <c r="B191" t="s">
        <v>779</v>
      </c>
      <c r="E191" t="s">
        <v>839</v>
      </c>
    </row>
    <row r="192">
      <c r="C192" t="s">
        <v>747</v>
      </c>
      <c r="D192" s="9">
        <f>E192-H192</f>
        <v>29.6</v>
      </c>
      <c r="E192">
        <f>VLOOKUP(two_span_length,T195:W200,2,0.1)</f>
        <v>50</v>
      </c>
      <c r="F192" t="s">
        <v>757</v>
      </c>
      <c r="G192" t="s">
        <v>747</v>
      </c>
      <c r="H192" s="1">
        <f>IF(OR(E192=T205,E192=T209),U205,IF(OR(E192=T212,E192=T213),U212,IF(E192=T214,U214,"err")))</f>
        <v>20.4</v>
      </c>
      <c r="I192" t="s">
        <v>757</v>
      </c>
    </row>
    <row r="193" ht="13.5" customHeight="1">
      <c r="E193">
        <f>VLOOKUP(two_span_length,T195:W200,4,0.1)</f>
        <v>5.71</v>
      </c>
      <c r="G193">
        <f>VLOOKUP(two_span_length,T195:W200,3,0.1)</f>
        <v>8.79</v>
      </c>
      <c r="H193" t="s">
        <v>85</v>
      </c>
    </row>
    <row r="194">
      <c r="T194" t="s">
        <v>840</v>
      </c>
      <c r="U194" t="s">
        <v>753</v>
      </c>
      <c r="V194" t="s">
        <v>841</v>
      </c>
      <c r="W194" t="s">
        <v>842</v>
      </c>
    </row>
    <row r="195">
      <c r="D195">
        <f>VLOOKUP(load1,R218:S221,2,0.1)</f>
        <v>4.07</v>
      </c>
      <c r="E195">
        <f>E193-D195</f>
        <v>1.6399999999999997</v>
      </c>
      <c r="F195">
        <f>G193-G195</f>
        <v>4.6499999999999995</v>
      </c>
      <c r="G195">
        <f>VLOOKUP(load,Q205:S214,3,0.1)</f>
        <v>4.14</v>
      </c>
      <c r="H195" t="s">
        <v>85</v>
      </c>
      <c r="T195">
        <f>V195+W195</f>
        <v>9</v>
      </c>
      <c r="U195">
        <v>27.2</v>
      </c>
      <c r="V195">
        <v>4.5</v>
      </c>
      <c r="W195">
        <v>4.5</v>
      </c>
    </row>
    <row r="196">
      <c r="T196">
        <f>V196+W196</f>
        <v>13.3</v>
      </c>
      <c r="U196">
        <v>38.6</v>
      </c>
      <c r="V196">
        <v>7.1</v>
      </c>
      <c r="W196">
        <v>6.2</v>
      </c>
    </row>
    <row r="197">
      <c r="T197">
        <f>V197+W197</f>
        <v>14.5</v>
      </c>
      <c r="U197">
        <v>50</v>
      </c>
      <c r="V197">
        <v>8.79</v>
      </c>
      <c r="W197">
        <v>5.71</v>
      </c>
    </row>
    <row r="198">
      <c r="A198">
        <f>A25</f>
        <v>0.3</v>
      </c>
      <c r="B198" t="s">
        <v>85</v>
      </c>
      <c r="C198" s="1">
        <f>C25</f>
        <v>8.35</v>
      </c>
      <c r="D198" s="1" t="s">
        <v>85</v>
      </c>
      <c r="E198" s="1" t="s">
        <v>731</v>
      </c>
      <c r="F198" t="s">
        <v>732</v>
      </c>
      <c r="H198" s="1">
        <f>H25</f>
        <v>8.35</v>
      </c>
      <c r="I198" t="s">
        <v>85</v>
      </c>
      <c r="J198">
        <f>+J57</f>
        <v>0.3</v>
      </c>
      <c r="T198">
        <f>V198+W198</f>
        <v>18.700000000000003</v>
      </c>
      <c r="U198">
        <v>52.7</v>
      </c>
      <c r="V198">
        <v>9.24</v>
      </c>
      <c r="W198">
        <v>9.46</v>
      </c>
    </row>
    <row r="199">
      <c r="B199" t="s">
        <v>750</v>
      </c>
      <c r="E199" s="12">
        <f>+E26</f>
        <v>0.3</v>
      </c>
      <c r="F199" s="12">
        <v>0.3</v>
      </c>
      <c r="G199" t="s">
        <v>85</v>
      </c>
      <c r="I199" t="s">
        <v>751</v>
      </c>
      <c r="T199">
        <f>V199+W199</f>
        <v>18.8</v>
      </c>
      <c r="U199">
        <v>55.4</v>
      </c>
      <c r="V199">
        <v>9.71</v>
      </c>
      <c r="W199">
        <v>9.09</v>
      </c>
    </row>
    <row r="200">
      <c r="T200" s="9">
        <f>A198+C198+E199+H198+J198</f>
        <v>17.6</v>
      </c>
      <c r="U200">
        <v>55.4</v>
      </c>
      <c r="V200">
        <v>9.71</v>
      </c>
      <c r="W200">
        <v>9.09</v>
      </c>
    </row>
    <row r="201" ht="13.5" customHeight="1">
      <c r="B201" t="s">
        <v>758</v>
      </c>
      <c r="C201" s="9" t="s">
        <f>CONCATENATE(H192,"*(",H198,"-",F195,"+",F199,")/",H198)</f>
        <v>843</v>
      </c>
      <c r="H201" t="s">
        <v>53</v>
      </c>
      <c r="I201" s="1">
        <f>H192*(H198-(G193-G195)+F199)/H198</f>
        <v>9.772455089820358</v>
      </c>
      <c r="J201" t="s">
        <v>757</v>
      </c>
    </row>
    <row r="202">
      <c r="B202" t="s">
        <v>755</v>
      </c>
      <c r="C202" s="14" t="s">
        <f>CONCATENATE(E192,"*(",C198,"-",E195,"+",E199,")/",C198)</f>
        <v>844</v>
      </c>
      <c r="H202" t="s">
        <v>53</v>
      </c>
      <c r="I202" s="17">
        <f>D192*(C198-E195+E199)/C198</f>
        <v>24.849820359281438</v>
      </c>
      <c r="J202" t="s">
        <v>757</v>
      </c>
    </row>
    <row r="203" ht="13.5" customHeight="1">
      <c r="B203" t="s">
        <v>759</v>
      </c>
      <c r="H203" t="s">
        <v>53</v>
      </c>
      <c r="I203" s="14">
        <f>load1-I202</f>
        <v>4.750179640718564</v>
      </c>
      <c r="J203" t="s">
        <v>757</v>
      </c>
    </row>
    <row r="204">
      <c r="B204" t="s">
        <v>785</v>
      </c>
      <c r="D204" t="s">
        <f>CONCATENATE(ROUND(I201,2)," + ",ROUND(I202,2))</f>
        <v>845</v>
      </c>
      <c r="H204" t="s">
        <v>53</v>
      </c>
      <c r="I204" s="17">
        <f>I201+I202</f>
        <v>34.62227544910179</v>
      </c>
      <c r="J204" t="s">
        <v>757</v>
      </c>
      <c r="Q204" t="s">
        <v>753</v>
      </c>
      <c r="R204" t="s">
        <v>846</v>
      </c>
      <c r="S204" t="s">
        <v>847</v>
      </c>
      <c r="T204" t="s">
        <v>848</v>
      </c>
      <c r="U204" t="s">
        <v>849</v>
      </c>
      <c r="V204" t="s">
        <v>847</v>
      </c>
    </row>
    <row r="205">
      <c r="B205" t="s">
        <v>762</v>
      </c>
      <c r="D205" s="9" t="s">
        <f>CONCATENATE(0.2,"*(",E192,")")</f>
        <v>850</v>
      </c>
      <c r="H205" t="s">
        <v>53</v>
      </c>
      <c r="I205" s="9">
        <f>0.2*E192</f>
        <v>10</v>
      </c>
      <c r="J205" t="s">
        <v>757</v>
      </c>
      <c r="Q205">
        <v>27.2</v>
      </c>
      <c r="R205">
        <v>13.6</v>
      </c>
      <c r="S205">
        <v>1.5</v>
      </c>
      <c r="T205">
        <v>55.4</v>
      </c>
      <c r="U205">
        <v>27.2</v>
      </c>
      <c r="V205">
        <v>4.5</v>
      </c>
    </row>
    <row r="206">
      <c r="B206" t="s">
        <v>764</v>
      </c>
      <c r="H206" t="s">
        <v>53</v>
      </c>
      <c r="I206" s="9">
        <f>I33</f>
        <v>485</v>
      </c>
      <c r="J206" t="s">
        <v>757</v>
      </c>
    </row>
    <row r="207">
      <c r="B207" t="s">
        <v>765</v>
      </c>
      <c r="H207" t="s">
        <v>53</v>
      </c>
      <c r="I207" s="1">
        <v>0</v>
      </c>
    </row>
    <row r="208">
      <c r="B208" t="s">
        <v>766</v>
      </c>
      <c r="H208" t="s">
        <v>53</v>
      </c>
      <c r="I208" s="9">
        <f>I207*(I206+I203)</f>
        <v>0</v>
      </c>
      <c r="J208" t="s">
        <v>757</v>
      </c>
    </row>
    <row r="209">
      <c r="B209" t="s">
        <v>767</v>
      </c>
      <c r="H209" t="s">
        <v>53</v>
      </c>
      <c r="I209" s="9">
        <f>MAX(I205/2+I208,I205-I208)</f>
        <v>10</v>
      </c>
      <c r="J209" t="s">
        <v>757</v>
      </c>
      <c r="Q209">
        <v>38.6</v>
      </c>
      <c r="R209">
        <v>20.4</v>
      </c>
      <c r="S209">
        <v>4.14</v>
      </c>
      <c r="T209">
        <v>52.7</v>
      </c>
      <c r="U209">
        <v>27.2</v>
      </c>
      <c r="V209">
        <v>4.5</v>
      </c>
    </row>
    <row r="210">
      <c r="B210" t="s">
        <v>768</v>
      </c>
    </row>
    <row r="211"/>
    <row r="212">
      <c r="B212" t="s">
        <v>788</v>
      </c>
      <c r="F212" t="s">
        <v>770</v>
      </c>
      <c r="Q212">
        <v>50</v>
      </c>
      <c r="R212">
        <v>20.4</v>
      </c>
      <c r="S212">
        <v>4.14</v>
      </c>
      <c r="T212">
        <v>50</v>
      </c>
      <c r="U212">
        <v>20.4</v>
      </c>
      <c r="V212">
        <v>4.14</v>
      </c>
    </row>
    <row r="213">
      <c r="C213" s="17">
        <v>1.3</v>
      </c>
      <c r="D213">
        <v>4.2</v>
      </c>
      <c r="Q213">
        <v>52.7</v>
      </c>
      <c r="R213">
        <v>27.2</v>
      </c>
      <c r="S213">
        <v>4.5</v>
      </c>
      <c r="T213">
        <v>38.6</v>
      </c>
      <c r="U213">
        <v>20.4</v>
      </c>
      <c r="V213">
        <v>4.14</v>
      </c>
    </row>
    <row r="214">
      <c r="Q214">
        <v>55.4</v>
      </c>
      <c r="R214">
        <v>27.2</v>
      </c>
      <c r="S214">
        <v>4.5</v>
      </c>
      <c r="T214">
        <v>27.2</v>
      </c>
      <c r="U214">
        <v>13.6</v>
      </c>
      <c r="V214">
        <v>1.5</v>
      </c>
    </row>
    <row r="215" ht="13.5" customHeight="1">
      <c r="T215" t="s">
        <v>851</v>
      </c>
      <c r="U215">
        <f>$C$25+$A$25+($E$26-0.04)/2</f>
        <v>8.780000000000001</v>
      </c>
    </row>
    <row r="216" ht="13.5" customHeight="1">
      <c r="E216" t="s">
        <v>852</v>
      </c>
    </row>
    <row r="217">
      <c r="B217" t="s">
        <v>771</v>
      </c>
      <c r="H217" t="s">
        <v>53</v>
      </c>
      <c r="I217" s="1">
        <f>D213</f>
        <v>4.2</v>
      </c>
      <c r="J217" s="9" t="s">
        <v>85</v>
      </c>
      <c r="R217" t="s">
        <v>853</v>
      </c>
      <c r="S217" t="s">
        <v>854</v>
      </c>
      <c r="U217" t="s">
        <v>853</v>
      </c>
      <c r="V217" t="s">
        <v>854</v>
      </c>
    </row>
    <row r="218">
      <c r="B218" t="s">
        <v>772</v>
      </c>
      <c r="E218" s="9" t="s">
        <f>CONCATENATE(I217,"*",ROUND(I204,1))</f>
        <v>855</v>
      </c>
      <c r="H218" t="s">
        <v>53</v>
      </c>
      <c r="I218" s="9">
        <f>I217*I204</f>
        <v>145.41355688622752</v>
      </c>
      <c r="J218" t="s">
        <v>774</v>
      </c>
      <c r="R218">
        <v>13.6</v>
      </c>
      <c r="S218">
        <v>1.5</v>
      </c>
      <c r="U218">
        <v>28.2</v>
      </c>
      <c r="V218">
        <v>4.07</v>
      </c>
    </row>
    <row r="219">
      <c r="B219" t="s">
        <v>775</v>
      </c>
      <c r="D219" s="9" t="s">
        <f>CONCATENATE(ROUND(I202,1),"*",C6,"-",ROUND(I201,1),"*",C7)</f>
        <v>856</v>
      </c>
      <c r="H219" t="s">
        <v>53</v>
      </c>
      <c r="I219" s="9">
        <f>ABS(I202*C6-I201*C7)</f>
        <v>4.523209580838323</v>
      </c>
      <c r="J219" t="s">
        <v>774</v>
      </c>
      <c r="R219">
        <v>18.2</v>
      </c>
      <c r="S219">
        <v>1.81</v>
      </c>
      <c r="U219">
        <v>25.5</v>
      </c>
      <c r="V219">
        <v>3.4</v>
      </c>
    </row>
    <row r="220">
      <c r="B220" t="s">
        <v>777</v>
      </c>
      <c r="H220" t="s">
        <v>53</v>
      </c>
      <c r="I220" s="2">
        <f>I219/I204</f>
        <v>0.13064449179511303</v>
      </c>
      <c r="J220" t="s">
        <v>85</v>
      </c>
      <c r="R220">
        <v>25.5</v>
      </c>
      <c r="S220">
        <v>3.4</v>
      </c>
      <c r="U220">
        <v>29.6</v>
      </c>
      <c r="V220">
        <v>1.73</v>
      </c>
    </row>
    <row r="221">
      <c r="R221">
        <v>28.2</v>
      </c>
      <c r="S221">
        <v>4.07</v>
      </c>
      <c r="U221">
        <v>18.2</v>
      </c>
      <c r="V221">
        <v>1.81</v>
      </c>
    </row>
    <row r="222"/>
    <row r="223">
      <c r="A223" t="s">
        <v>791</v>
      </c>
      <c r="B223" t="s">
        <v>792</v>
      </c>
    </row>
    <row r="225">
      <c r="B225" t="s">
        <v>758</v>
      </c>
      <c r="C225" s="9" t="s">
        <f>CONCATENATE("2*",ROUND(I201,1))</f>
        <v>857</v>
      </c>
      <c r="G225" t="s">
        <v>53</v>
      </c>
      <c r="H225" s="9">
        <f>2*I201</f>
        <v>19.544910179640716</v>
      </c>
      <c r="I225" t="s">
        <v>757</v>
      </c>
    </row>
    <row r="226">
      <c r="B226" t="s">
        <v>755</v>
      </c>
      <c r="C226" s="9" t="s">
        <f>CONCATENATE("2*",ROUND(I202,1))</f>
        <v>858</v>
      </c>
      <c r="G226" t="s">
        <v>53</v>
      </c>
      <c r="H226" s="14">
        <f>2*I202</f>
        <v>49.699640718562875</v>
      </c>
      <c r="I226" t="s">
        <v>757</v>
      </c>
    </row>
    <row r="227">
      <c r="B227" t="s">
        <v>759</v>
      </c>
      <c r="G227" t="s">
        <v>53</v>
      </c>
      <c r="H227" s="14">
        <f>load1*2-H226</f>
        <v>9.500359281437127</v>
      </c>
      <c r="I227" t="s">
        <v>757</v>
      </c>
    </row>
    <row r="228">
      <c r="B228" t="s">
        <v>785</v>
      </c>
      <c r="D228" t="s">
        <f>CONCATENATE(ROUND(H225,1)," + ",ROUND(H226,1))</f>
        <v>859</v>
      </c>
      <c r="G228" t="s">
        <v>53</v>
      </c>
      <c r="H228" s="14">
        <f>H225+H226</f>
        <v>69.24455089820358</v>
      </c>
      <c r="I228" t="s">
        <v>757</v>
      </c>
    </row>
    <row r="229">
      <c r="B229" t="s">
        <v>796</v>
      </c>
      <c r="G229" t="s">
        <v>53</v>
      </c>
      <c r="H229" s="9">
        <f>I64</f>
        <v>11.08</v>
      </c>
      <c r="I229" t="s">
        <v>757</v>
      </c>
    </row>
    <row r="230">
      <c r="B230" t="s">
        <v>764</v>
      </c>
      <c r="G230" t="s">
        <v>53</v>
      </c>
      <c r="H230" s="9">
        <f>I33</f>
        <v>485</v>
      </c>
      <c r="I230" t="s">
        <v>757</v>
      </c>
    </row>
    <row r="231">
      <c r="B231" t="s">
        <v>765</v>
      </c>
      <c r="G231" t="s">
        <v>53</v>
      </c>
      <c r="H231" s="1">
        <v>0</v>
      </c>
    </row>
    <row r="232">
      <c r="B232" t="s">
        <v>766</v>
      </c>
      <c r="G232" t="s">
        <v>53</v>
      </c>
      <c r="H232" s="9">
        <f>H231*(H230+H227)</f>
        <v>0</v>
      </c>
      <c r="I232" t="s">
        <v>757</v>
      </c>
    </row>
    <row r="233">
      <c r="B233" t="s">
        <v>767</v>
      </c>
      <c r="G233" t="s">
        <v>53</v>
      </c>
      <c r="H233" s="9">
        <f>MAX(H229/2+H232,H229-H232)</f>
        <v>11.08</v>
      </c>
      <c r="I233" t="s">
        <v>757</v>
      </c>
    </row>
    <row r="234">
      <c r="B234" t="s">
        <v>768</v>
      </c>
    </row>
    <row r="235"/>
    <row r="236">
      <c r="B236" t="s">
        <v>797</v>
      </c>
      <c r="F236" t="s">
        <v>770</v>
      </c>
    </row>
    <row r="237">
      <c r="C237" s="17">
        <v>3.05</v>
      </c>
      <c r="D237">
        <f>E240/2-C237</f>
        <v>1.1500000000000004</v>
      </c>
    </row>
    <row r="238"/>
    <row r="239"/>
    <row r="240">
      <c r="E240">
        <f>E44</f>
        <v>8.4</v>
      </c>
      <c r="F240" t="s">
        <v>85</v>
      </c>
    </row>
    <row r="241">
      <c r="B241" t="s">
        <v>771</v>
      </c>
      <c r="G241" t="s">
        <v>53</v>
      </c>
      <c r="H241" s="1">
        <f>D237</f>
        <v>1.1500000000000004</v>
      </c>
      <c r="I241" s="9" t="s">
        <v>85</v>
      </c>
    </row>
    <row r="242">
      <c r="B242" t="s">
        <v>772</v>
      </c>
      <c r="E242" s="9" t="s">
        <f>CONCATENATE(H241,"*",ROUND(H228,1))</f>
        <v>860</v>
      </c>
      <c r="G242" t="s">
        <v>53</v>
      </c>
      <c r="H242" s="9">
        <f>H228*H241</f>
        <v>79.63123353293415</v>
      </c>
      <c r="I242" t="s">
        <v>774</v>
      </c>
    </row>
    <row r="243">
      <c r="B243" t="s">
        <v>775</v>
      </c>
      <c r="D243" s="9" t="s">
        <f>CONCATENATE(ROUND(H226,1),"*",C6,"-",ROUND(H225,1),"*",C7)</f>
        <v>861</v>
      </c>
      <c r="G243" t="s">
        <v>53</v>
      </c>
      <c r="H243" s="9">
        <f>ABS(H226*C6-H225*C7)</f>
        <v>9.046419161676646</v>
      </c>
      <c r="I243" t="s">
        <v>774</v>
      </c>
    </row>
    <row r="244">
      <c r="B244" t="s">
        <v>777</v>
      </c>
      <c r="G244" t="s">
        <v>53</v>
      </c>
      <c r="H244" s="2">
        <f>H243/H228</f>
        <v>0.13064449179511303</v>
      </c>
      <c r="I244" t="s">
        <v>85</v>
      </c>
    </row>
    <row r="245"/>
    <row r="247">
      <c r="A247" t="s">
        <v>800</v>
      </c>
      <c r="B247" t="s">
        <v>801</v>
      </c>
    </row>
    <row r="249">
      <c r="B249" t="s">
        <v>758</v>
      </c>
      <c r="C249" s="9" t="s">
        <f>CONCATENATE("90% of"," 3*",ROUND(I201,1))</f>
        <v>862</v>
      </c>
      <c r="G249" t="s">
        <v>53</v>
      </c>
      <c r="H249" s="9">
        <f>0.9*3*I201</f>
        <v>26.385628742514967</v>
      </c>
      <c r="I249" t="s">
        <v>757</v>
      </c>
    </row>
    <row r="250">
      <c r="B250" t="s">
        <v>755</v>
      </c>
      <c r="C250" s="9" t="s">
        <f>CONCATENATE("90% of"," 3*",ROUND(I202,1))</f>
        <v>863</v>
      </c>
      <c r="G250" t="s">
        <v>53</v>
      </c>
      <c r="H250" s="14">
        <f>0.9*3*I202</f>
        <v>67.09451497005989</v>
      </c>
      <c r="I250" t="s">
        <v>757</v>
      </c>
    </row>
    <row r="251">
      <c r="B251" t="s">
        <v>759</v>
      </c>
      <c r="G251" t="s">
        <v>53</v>
      </c>
      <c r="H251" s="14">
        <f>load1*0.9*3-H250</f>
        <v>12.825485029940111</v>
      </c>
      <c r="I251" t="s">
        <v>757</v>
      </c>
    </row>
    <row r="252">
      <c r="B252" t="s">
        <v>785</v>
      </c>
      <c r="D252" t="s">
        <f>CONCATENATE(ROUND(H249,1)," + ",ROUND(H250,1))</f>
        <v>864</v>
      </c>
      <c r="H252" s="14">
        <f>H249+H250</f>
        <v>93.48014371257486</v>
      </c>
    </row>
    <row r="253">
      <c r="B253" t="s">
        <v>762</v>
      </c>
      <c r="D253" s="9" t="s">
        <f>CONCATENATE("(0.2)*",55.4,"+","0.05*",55.4)</f>
        <v>805</v>
      </c>
      <c r="G253" t="s">
        <v>53</v>
      </c>
      <c r="H253" s="9">
        <f>(0.2)*55.4+(0.05)*55.4</f>
        <v>13.85</v>
      </c>
      <c r="I253" t="s">
        <v>757</v>
      </c>
    </row>
    <row r="254">
      <c r="B254" t="s">
        <v>806</v>
      </c>
    </row>
    <row r="255">
      <c r="B255" t="s">
        <v>865</v>
      </c>
      <c r="G255" t="s">
        <v>53</v>
      </c>
      <c r="H255" s="9">
        <f>I33</f>
        <v>485</v>
      </c>
      <c r="I255" t="s">
        <v>757</v>
      </c>
    </row>
    <row r="256">
      <c r="B256" t="s">
        <v>765</v>
      </c>
      <c r="G256" t="s">
        <v>53</v>
      </c>
      <c r="H256" s="1">
        <v>0</v>
      </c>
    </row>
    <row r="257">
      <c r="B257" t="s">
        <v>766</v>
      </c>
      <c r="G257" t="s">
        <v>53</v>
      </c>
      <c r="H257" s="9">
        <f>H256*(H255+H252)</f>
        <v>0</v>
      </c>
      <c r="I257" t="s">
        <v>757</v>
      </c>
    </row>
    <row r="258">
      <c r="B258" t="s">
        <v>767</v>
      </c>
      <c r="G258" t="s">
        <v>53</v>
      </c>
      <c r="H258" s="9">
        <f>MAX(H253/2+H257,H253-H257)</f>
        <v>13.85</v>
      </c>
      <c r="I258" t="s">
        <v>757</v>
      </c>
    </row>
    <row r="259">
      <c r="B259" t="s">
        <v>768</v>
      </c>
    </row>
    <row r="260"/>
    <row r="261">
      <c r="B261" t="s">
        <v>807</v>
      </c>
      <c r="F261" t="s">
        <v>770</v>
      </c>
    </row>
    <row r="262">
      <c r="C262" s="17">
        <v>4.8</v>
      </c>
      <c r="E262">
        <f>E265/2-C262</f>
        <v>0.7000000000000002</v>
      </c>
    </row>
    <row r="263"/>
    <row r="264"/>
    <row r="265">
      <c r="E265">
        <v>11</v>
      </c>
      <c r="F265" t="s">
        <v>85</v>
      </c>
    </row>
    <row r="266">
      <c r="B266" t="s">
        <v>771</v>
      </c>
      <c r="G266" t="s">
        <v>53</v>
      </c>
      <c r="H266" s="1">
        <f>E262</f>
        <v>0.7000000000000002</v>
      </c>
      <c r="I266" s="9" t="s">
        <v>85</v>
      </c>
    </row>
    <row r="267">
      <c r="B267" t="s">
        <v>772</v>
      </c>
      <c r="E267" s="9" t="s">
        <f>CONCATENATE(H266,"*",ROUND(H252,1))</f>
        <v>866</v>
      </c>
      <c r="G267" t="s">
        <v>53</v>
      </c>
      <c r="H267" s="9">
        <f>H266*H252</f>
        <v>65.43610059880241</v>
      </c>
      <c r="I267" t="s">
        <v>774</v>
      </c>
    </row>
    <row r="268">
      <c r="B268" t="s">
        <v>775</v>
      </c>
      <c r="D268" s="9" t="s">
        <f>CONCATENATE(ROUND(H250,1),"*",C6,"-",ROUND(H249,1),"*",C7)</f>
        <v>867</v>
      </c>
      <c r="G268" t="s">
        <v>53</v>
      </c>
      <c r="H268" s="9">
        <f>ABS(H250*C6-H249*C7)</f>
        <v>12.212665868263475</v>
      </c>
      <c r="I268" t="s">
        <v>774</v>
      </c>
    </row>
    <row r="269">
      <c r="B269" t="s">
        <v>777</v>
      </c>
      <c r="G269" t="s">
        <v>53</v>
      </c>
      <c r="H269" s="2">
        <f>H268/H252</f>
        <v>0.13064449179511306</v>
      </c>
      <c r="I269" t="s">
        <v>85</v>
      </c>
    </row>
    <row r="271">
      <c r="A271" t="s">
        <v>810</v>
      </c>
      <c r="B271" t="s">
        <v>811</v>
      </c>
    </row>
    <row r="273">
      <c r="B273" t="s">
        <v>758</v>
      </c>
      <c r="C273" s="9" t="s">
        <f>CONCATENATE("90% of","(",ROUND(I201,2),"+",ROUND(I171,2),")")</f>
        <v>868</v>
      </c>
      <c r="G273" t="s">
        <v>53</v>
      </c>
      <c r="H273" s="9">
        <f>0.9*(I201+I171)</f>
        <v>28.364550898203593</v>
      </c>
      <c r="I273" t="s">
        <v>757</v>
      </c>
    </row>
    <row r="274">
      <c r="B274" t="s">
        <v>755</v>
      </c>
      <c r="C274" s="9" t="s">
        <f>CONCATENATE("90% of","(",ROUND(I202,2),"+",ROUND(I170,2),")")</f>
        <v>869</v>
      </c>
      <c r="G274" t="s">
        <v>53</v>
      </c>
      <c r="H274" s="9">
        <f>0.9*(I202+I170)</f>
        <v>50.46208383233533</v>
      </c>
      <c r="I274" t="s">
        <v>757</v>
      </c>
    </row>
    <row r="275">
      <c r="B275" t="s">
        <v>759</v>
      </c>
      <c r="G275" t="s">
        <v>53</v>
      </c>
      <c r="H275" s="14">
        <f>load1*0.9*3-H274</f>
        <v>29.45791616766467</v>
      </c>
      <c r="I275" t="s">
        <v>757</v>
      </c>
    </row>
    <row r="276">
      <c r="B276" t="s">
        <v>814</v>
      </c>
      <c r="D276" s="9" t="s">
        <f>CONCATENATE(I32," + ","5% of ",55.4)</f>
        <v>815</v>
      </c>
      <c r="G276" t="s">
        <v>53</v>
      </c>
      <c r="H276" s="9">
        <f>I32+0.05*55.4</f>
        <v>18.77</v>
      </c>
      <c r="I276" t="s">
        <v>757</v>
      </c>
    </row>
    <row r="277">
      <c r="B277" t="s">
        <v>816</v>
      </c>
    </row>
    <row r="278">
      <c r="B278" t="s">
        <v>764</v>
      </c>
      <c r="G278" t="s">
        <v>53</v>
      </c>
      <c r="H278" s="9">
        <f>I33</f>
        <v>485</v>
      </c>
      <c r="I278" t="s">
        <v>757</v>
      </c>
    </row>
    <row r="279">
      <c r="B279" t="s">
        <v>765</v>
      </c>
      <c r="G279" t="s">
        <v>53</v>
      </c>
      <c r="H279" s="1">
        <v>0</v>
      </c>
    </row>
    <row r="280">
      <c r="B280" t="s">
        <v>766</v>
      </c>
      <c r="G280" t="s">
        <v>53</v>
      </c>
      <c r="H280" s="9">
        <f>H279*(H278+H275)</f>
        <v>0</v>
      </c>
      <c r="I280" t="s">
        <v>757</v>
      </c>
    </row>
    <row r="281">
      <c r="B281" t="s">
        <v>767</v>
      </c>
      <c r="G281" t="s">
        <v>53</v>
      </c>
      <c r="H281" s="9">
        <f>MAX(H276/2+H280,H276-H280)</f>
        <v>18.77</v>
      </c>
      <c r="I281" t="s">
        <v>757</v>
      </c>
    </row>
    <row r="282">
      <c r="B282" t="s">
        <v>768</v>
      </c>
    </row>
    <row r="283"/>
    <row r="284">
      <c r="B284" t="s">
        <v>817</v>
      </c>
      <c r="F284" t="s">
        <v>770</v>
      </c>
      <c r="H284" t="s">
        <v>818</v>
      </c>
    </row>
    <row r="285">
      <c r="C285" s="15">
        <v>2.595</v>
      </c>
      <c r="D285" s="2">
        <v>2.905</v>
      </c>
      <c r="F285">
        <v>0.84</v>
      </c>
    </row>
    <row r="286"/>
    <row r="287"/>
    <row r="288">
      <c r="E288">
        <v>8.4</v>
      </c>
    </row>
    <row r="289">
      <c r="B289" t="s">
        <v>819</v>
      </c>
      <c r="G289" t="s">
        <v>53</v>
      </c>
      <c r="H289" s="2">
        <f>D285</f>
        <v>2.905</v>
      </c>
      <c r="I289" s="9" t="s">
        <v>85</v>
      </c>
    </row>
    <row r="290">
      <c r="B290" t="s">
        <v>820</v>
      </c>
      <c r="G290" t="s">
        <v>53</v>
      </c>
      <c r="H290" s="1">
        <f>-F285</f>
        <v>-0.84</v>
      </c>
      <c r="I290" s="9" t="s">
        <v>85</v>
      </c>
    </row>
    <row r="291">
      <c r="B291" t="s">
        <v>821</v>
      </c>
      <c r="D291" s="9" t="s">
        <f>CONCATENATE("0.9*(",ROUND(I28,1),"*",ROUND(H289,1),"-",ROUND(I60,1),"*",ROUND(H290,1),")")</f>
        <v>870</v>
      </c>
      <c r="G291" t="s">
        <v>53</v>
      </c>
      <c r="H291" s="9">
        <f>0.9*(I173*H289+I204*H290)</f>
        <v>112.39405976047905</v>
      </c>
    </row>
    <row r="292">
      <c r="B292" t="s">
        <v>823</v>
      </c>
      <c r="G292" t="s">
        <v>53</v>
      </c>
      <c r="H292" s="2">
        <f>H291/(H273+H274)</f>
        <v>1.4258386159029504</v>
      </c>
      <c r="I292" t="s">
        <v>774</v>
      </c>
    </row>
    <row r="293">
      <c r="B293" t="s">
        <v>775</v>
      </c>
      <c r="D293" s="9" t="s">
        <f>CONCATENATE(ROUND(H274,1),"*",C6,"-",ROUND(H273,1),"*",C7)</f>
        <v>871</v>
      </c>
      <c r="G293" t="s">
        <v>53</v>
      </c>
      <c r="H293" s="9">
        <f>ABS(H274*C6-H273*C7)</f>
        <v>6.62925988023952</v>
      </c>
      <c r="I293" t="s">
        <v>774</v>
      </c>
    </row>
    <row r="294">
      <c r="B294" t="s">
        <v>777</v>
      </c>
      <c r="G294" t="s">
        <v>53</v>
      </c>
      <c r="H294" s="2">
        <f>H293/(H273+H274)</f>
        <v>0.08409923755975364</v>
      </c>
      <c r="I294" t="s">
        <v>85</v>
      </c>
    </row>
    <row r="310" ht="52.5" customHeight="1"/>
    <row r="315" ht="26.25" customHeight="1"/>
    <row r="318" ht="12.75" customHeight="1"/>
    <row r="323" ht="13.5" customHeight="1"/>
    <row r="331"/>
    <row r="332"/>
    <row r="333"/>
    <row r="334"/>
  </sheetData>
  <mergeCells count="18">
    <mergeCell ref="D41:E41"/>
    <mergeCell ref="D72:E72"/>
    <mergeCell ref="D96:E96"/>
    <mergeCell ref="C121:D121"/>
    <mergeCell ref="D144:E144"/>
    <mergeCell ref="E147:F147"/>
    <mergeCell ref="D162:E162"/>
    <mergeCell ref="F162:G162"/>
    <mergeCell ref="F164:G164"/>
    <mergeCell ref="J167:K167"/>
    <mergeCell ref="D182:E182"/>
    <mergeCell ref="E191:F191"/>
    <mergeCell ref="D213:E213"/>
    <mergeCell ref="E216:F216"/>
    <mergeCell ref="D237:E237"/>
    <mergeCell ref="C262:D262"/>
    <mergeCell ref="D285:E285"/>
    <mergeCell ref="E288:F288"/>
  </mergeCells>
  <pageMargins left="0.75" right="0.75" top="1" bottom="1" header="0.5" footer="0.5"/>
  <ignoredErrors>
    <ignoredError numberStoredAsText="1" sqref="A1:AE334"/>
  </ignoredErrors>
</worksheet>
</file>

<file path=xl/worksheets/sheet18.xml><?xml version="1.0" encoding="utf-8"?>
<worksheet xmlns="http://schemas.openxmlformats.org/spreadsheetml/2006/main" xmlns:r="http://schemas.openxmlformats.org/officeDocument/2006/relationships">
  <dimension ref="A1:J48"/>
  <sheetViews>
    <sheetView workbookViewId="0" rightToLeft="0"/>
  </sheetViews>
  <cols>
    <col min="1" max="1" customWidth="1" width="9.140625"/>
    <col min="2" max="2" customWidth="1" width="9.140625"/>
    <col min="3" max="3" customWidth="1" width="9.140625"/>
    <col min="4" max="4" customWidth="1" width="10.42578125"/>
    <col min="5" max="5" customWidth="1" width="11.140625"/>
    <col min="6" max="6" customWidth="1" width="10.140625"/>
    <col min="7" max="7" customWidth="1" width="11.140625"/>
    <col min="8" max="8" customWidth="1" width="13.28515625"/>
    <col min="9" max="9" customWidth="1" width="13.28515625"/>
    <col min="10" max="10" customWidth="1" width="9.140625"/>
    <col min="11" max="11" customWidth="1" width="9.14062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15.75" customHeight="1">
      <c r="A1" t="s">
        <v>872</v>
      </c>
    </row>
    <row r="2" ht="13.5" customHeight="1"/>
    <row r="3" ht="15.75" customHeight="1">
      <c r="A3" t="s">
        <v>873</v>
      </c>
      <c r="F3" t="s">
        <v>874</v>
      </c>
      <c r="H3" t="s">
        <v>875</v>
      </c>
      <c r="I3" t="s">
        <v>876</v>
      </c>
    </row>
    <row r="4" ht="48" customHeight="1">
      <c r="A4" t="s">
        <v>877</v>
      </c>
      <c r="B4" t="s">
        <v>878</v>
      </c>
      <c r="D4" t="s">
        <v>879</v>
      </c>
    </row>
    <row r="5">
      <c r="A5" s="9">
        <f>LLOAD!I31</f>
        <v>60.35928143712574</v>
      </c>
      <c r="B5" s="9">
        <f>LLOAD!I46</f>
        <v>175.34371257485026</v>
      </c>
      <c r="D5" s="9">
        <f>LLOAD!I47</f>
        <v>18.10778443113772</v>
      </c>
      <c r="F5" s="9">
        <f>LLOAD!I37</f>
        <v>16</v>
      </c>
      <c r="H5" s="2">
        <f>LLOAD!I45</f>
        <v>2.905</v>
      </c>
      <c r="I5" s="2">
        <f>LLOAD!I48</f>
        <v>0.3</v>
      </c>
    </row>
    <row r="6">
      <c r="A6" s="9">
        <f>LLOAD!I63</f>
        <v>55.4</v>
      </c>
      <c r="B6" s="9">
        <f>LLOAD!I77</f>
        <v>160.66000000000003</v>
      </c>
      <c r="D6" s="9">
        <f>LLOAD!I78</f>
        <v>2.0899401197604783</v>
      </c>
      <c r="F6" s="9">
        <f>LLOAD!I68</f>
        <v>11.08</v>
      </c>
      <c r="G6" s="9" t="e">
        <f>[3]LLOAD!M63</f>
        <v>#REF!</v>
      </c>
      <c r="H6" s="2">
        <f>LLOAD!I76</f>
        <v>2.9000000000000004</v>
      </c>
      <c r="I6" s="2">
        <f>LLOAD!I79</f>
        <v>0.037724550898203583</v>
      </c>
    </row>
    <row r="7">
      <c r="A7" s="9">
        <f>LLOAD!I85</f>
        <v>13.932934131736522</v>
      </c>
      <c r="B7" s="9">
        <f>LLOAD!I101</f>
        <v>16.022874251497004</v>
      </c>
      <c r="D7" s="9">
        <f>LLOAD!I102</f>
        <v>4.179880239520957</v>
      </c>
      <c r="F7" s="9">
        <f>LLOAD!I92</f>
        <v>11.08</v>
      </c>
      <c r="G7" s="9" t="e">
        <f>[3]LLOAD!L228</f>
        <v>#REF!</v>
      </c>
      <c r="H7" s="2">
        <f>LLOAD!I125</f>
        <v>0.7000000000000002</v>
      </c>
      <c r="I7" s="2">
        <f>LLOAD!I128</f>
        <v>0.3</v>
      </c>
    </row>
    <row r="8">
      <c r="A8" s="9">
        <f>LLOAD!I109</f>
        <v>18.809461077844304</v>
      </c>
      <c r="B8" s="9">
        <f>LLOAD!I126</f>
        <v>13.166622754491016</v>
      </c>
      <c r="D8" s="9">
        <f>LLOAD!I127</f>
        <v>5.642838323353291</v>
      </c>
      <c r="F8" s="9">
        <f>LLOAD!I117</f>
        <v>13.85</v>
      </c>
      <c r="G8" s="9" t="e">
        <f>[3]LLOAD!L252</f>
        <v>#REF!</v>
      </c>
      <c r="H8" s="2">
        <f>LLOAD!I125</f>
        <v>0.7000000000000002</v>
      </c>
      <c r="I8" s="2">
        <f>LLOAD!I128</f>
        <v>0.3</v>
      </c>
    </row>
    <row r="9" ht="13.5" customHeight="1">
      <c r="A9" s="9">
        <f>LLOAD!I133</f>
        <v>60.5931736526946</v>
      </c>
      <c r="B9" s="9">
        <f>LLOAD!I150</f>
        <v>115.92694131736523</v>
      </c>
      <c r="D9" s="9">
        <f>LLOAD!I152</f>
        <v>18.17795209580838</v>
      </c>
      <c r="F9" s="9">
        <f>LLOAD!I140</f>
        <v>18.77</v>
      </c>
      <c r="G9" s="9" t="e">
        <f>[3]LLOAD!L275</f>
        <v>#REF!</v>
      </c>
      <c r="H9" s="2">
        <f>LLOAD!I151</f>
        <v>1.9132013447889424</v>
      </c>
      <c r="I9" s="2">
        <f>LLOAD!I153</f>
        <v>0.3</v>
      </c>
    </row>
    <row r="10" ht="17.25" customHeight="1"/>
    <row r="11" ht="13.5" customHeight="1">
      <c r="C11" t="s">
        <v>880</v>
      </c>
      <c r="F11" t="s">
        <v>874</v>
      </c>
      <c r="G11" t="s">
        <v>875</v>
      </c>
      <c r="H11" t="s">
        <v>876</v>
      </c>
    </row>
    <row r="12" ht="48" customHeight="1">
      <c r="A12" t="s">
        <v>881</v>
      </c>
      <c r="C12" t="s">
        <v>877</v>
      </c>
      <c r="D12" t="s">
        <v>878</v>
      </c>
      <c r="E12" t="s">
        <v>879</v>
      </c>
    </row>
    <row r="13">
      <c r="A13" t="s">
        <v>882</v>
      </c>
      <c r="C13" s="9">
        <f>LLOAD!I173</f>
        <v>53</v>
      </c>
      <c r="D13" s="9">
        <f>LLOAD!I187</f>
        <v>153.965</v>
      </c>
      <c r="E13" s="9">
        <f>LLOAD!I188</f>
        <v>2.8426347305389212</v>
      </c>
      <c r="F13" s="9">
        <f>LLOAD!I178</f>
        <v>20</v>
      </c>
      <c r="G13" s="2">
        <f>LLOAD!I186</f>
        <v>2.905</v>
      </c>
      <c r="H13" s="2">
        <f>LLOAD!I189</f>
        <v>0.053634617557338136</v>
      </c>
      <c r="J13" t="s">
        <v>1</v>
      </c>
    </row>
    <row r="14">
      <c r="A14" t="s">
        <v>883</v>
      </c>
      <c r="C14" s="9">
        <f>LLOAD!I204</f>
        <v>34.62227544910179</v>
      </c>
      <c r="D14" s="9">
        <f>LLOAD!I218</f>
        <v>145.41355688622752</v>
      </c>
      <c r="E14" s="9">
        <f>LLOAD!I219</f>
        <v>4.523209580838323</v>
      </c>
      <c r="F14" s="9">
        <f>LLOAD!I209</f>
        <v>10</v>
      </c>
      <c r="G14" s="2">
        <f>LLOAD!I217</f>
        <v>4.2</v>
      </c>
      <c r="H14" s="2">
        <f>LLOAD!I220</f>
        <v>0.13064449179511303</v>
      </c>
    </row>
    <row r="15">
      <c r="A15" t="s">
        <v>884</v>
      </c>
      <c r="C15" s="9">
        <f>LLOAD!H228</f>
        <v>69.24455089820358</v>
      </c>
      <c r="D15" s="9">
        <f>LLOAD!H242</f>
        <v>79.63123353293415</v>
      </c>
      <c r="E15" s="9">
        <f>LLOAD!H243</f>
        <v>9.046419161676646</v>
      </c>
      <c r="F15" s="9">
        <f>LLOAD!H233</f>
        <v>11.08</v>
      </c>
      <c r="G15" s="2">
        <f>LLOAD!H243</f>
        <v>9.046419161676646</v>
      </c>
      <c r="H15" s="2">
        <f>LLOAD!H244</f>
        <v>0.13064449179511303</v>
      </c>
    </row>
    <row r="16">
      <c r="A16" t="s">
        <v>885</v>
      </c>
      <c r="C16" s="9">
        <f>LLOAD!H252</f>
        <v>93.48014371257486</v>
      </c>
      <c r="D16" s="9">
        <f>LLOAD!H267</f>
        <v>65.43610059880241</v>
      </c>
      <c r="E16" s="9">
        <f>LLOAD!H268</f>
        <v>12.212665868263475</v>
      </c>
      <c r="F16" s="9">
        <f>LLOAD!H258</f>
        <v>13.85</v>
      </c>
      <c r="G16" s="2">
        <f>LLOAD!H266</f>
        <v>0.7000000000000002</v>
      </c>
      <c r="H16" s="2">
        <f>LLOAD!H269</f>
        <v>0.13064449179511306</v>
      </c>
    </row>
    <row r="17" ht="30" customHeight="1">
      <c r="A17" t="s">
        <v>886</v>
      </c>
      <c r="C17" s="9">
        <f>LLOAD!H273+LLOAD!H274</f>
        <v>78.82663473053893</v>
      </c>
      <c r="D17" s="9">
        <f>LLOAD!H291</f>
        <v>112.39405976047905</v>
      </c>
      <c r="E17" s="9">
        <f>LLOAD!H293</f>
        <v>6.62925988023952</v>
      </c>
      <c r="F17" s="9">
        <f>LLOAD!H281</f>
        <v>18.77</v>
      </c>
      <c r="G17" s="2">
        <f>LLOAD!H292</f>
        <v>1.4258386159029504</v>
      </c>
      <c r="H17" s="2">
        <f>LLOAD!H294</f>
        <v>0.08409923755975364</v>
      </c>
    </row>
    <row r="18" ht="16.5" customHeight="1"/>
    <row r="19">
      <c r="A19" t="s">
        <v>887</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45"/>
    <row r="48"/>
  </sheetData>
  <mergeCells count="29">
    <mergeCell ref="A3:E3"/>
    <mergeCell ref="F3:G4"/>
    <mergeCell ref="H3:H4"/>
    <mergeCell ref="I3:I4"/>
    <mergeCell ref="B4:C4"/>
    <mergeCell ref="D4:E4"/>
    <mergeCell ref="B5:C5"/>
    <mergeCell ref="D5:E5"/>
    <mergeCell ref="F5:G5"/>
    <mergeCell ref="B6:C6"/>
    <mergeCell ref="D6:E6"/>
    <mergeCell ref="F6:G6"/>
    <mergeCell ref="G11:G12"/>
    <mergeCell ref="B7:C7"/>
    <mergeCell ref="D7:E7"/>
    <mergeCell ref="F7:G7"/>
    <mergeCell ref="B8:C8"/>
    <mergeCell ref="D8:E8"/>
    <mergeCell ref="F8:G8"/>
    <mergeCell ref="H11:H12"/>
    <mergeCell ref="A12:B12"/>
    <mergeCell ref="A17:B17"/>
    <mergeCell ref="A19:F19"/>
    <mergeCell ref="B9:C9"/>
    <mergeCell ref="D9:E9"/>
    <mergeCell ref="F9:G9"/>
    <mergeCell ref="A11:B11"/>
    <mergeCell ref="C11:E11"/>
    <mergeCell ref="F11:F12"/>
  </mergeCells>
  <pageMargins left="0.75" right="0.75" top="1" bottom="1" header="0.5" footer="0.5"/>
  <ignoredErrors>
    <ignoredError numberStoredAsText="1" sqref="A1:J48"/>
  </ignoredErrors>
</worksheet>
</file>

<file path=xl/worksheets/sheet19.xml><?xml version="1.0" encoding="utf-8"?>
<worksheet xmlns="http://schemas.openxmlformats.org/spreadsheetml/2006/main" xmlns:r="http://schemas.openxmlformats.org/officeDocument/2006/relationships">
  <dimension ref="B2:L8"/>
  <sheetViews>
    <sheetView workbookViewId="0" rightToLeft="0"/>
  </sheetViews>
  <cols>
    <col min="1" max="1" customWidth="1" width="9.140625"/>
    <col min="2" max="2" customWidth="1" width="9.140625"/>
    <col min="3" max="3" customWidth="1" width="9.140625"/>
    <col min="4" max="4" customWidth="1" width="9.140625"/>
    <col min="5" max="5" customWidth="1" width="9.140625"/>
    <col min="6" max="6" customWidth="1" width="9.140625"/>
    <col min="7" max="7" customWidth="1" width="21.28515625"/>
    <col min="8" max="8" customWidth="1" width="9.28515625"/>
    <col min="9" max="9" customWidth="1" width="9.140625"/>
    <col min="10" max="10" customWidth="1" width="9.140625"/>
    <col min="11" max="11" customWidth="1" width="13.2851562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2" ht="18" customHeight="1">
      <c r="B2" s="1" t="s">
        <v>315</v>
      </c>
      <c r="H2">
        <f>MAX('loadsumm '!C13,'loadsumm '!C14,'loadsumm '!C15,'loadsumm '!C17)</f>
        <v>78.82663473053893</v>
      </c>
      <c r="I2" t="s">
        <v>888</v>
      </c>
      <c r="J2" t="s">
        <v>53</v>
      </c>
      <c r="K2" s="1">
        <f>H2*10</f>
        <v>788.2663473053892</v>
      </c>
      <c r="L2" t="s">
        <v>889</v>
      </c>
    </row>
    <row r="3" ht="18" customHeight="1"/>
    <row r="4" ht="42.75" customHeight="1">
      <c r="B4" s="1" t="s">
        <v>322</v>
      </c>
      <c r="H4">
        <f>MAX('loadsumm '!E15,'loadsumm '!E16,'loadsumm '!E17,'loadsumm '!E19)</f>
        <v>12.212665868263475</v>
      </c>
      <c r="I4" t="s">
        <v>890</v>
      </c>
      <c r="J4" t="s">
        <v>53</v>
      </c>
      <c r="K4" s="1">
        <f>H4*10</f>
        <v>122.12665868263474</v>
      </c>
      <c r="L4" t="s">
        <v>891</v>
      </c>
    </row>
    <row r="5" ht="18" customHeight="1"/>
    <row r="6" ht="42.75" customHeight="1">
      <c r="B6" s="1" t="s">
        <v>892</v>
      </c>
      <c r="H6">
        <f>MAX('loadsumm '!D17,'loadsumm '!D18,'loadsumm '!D19,'loadsumm '!D21)</f>
        <v>112.39405976047905</v>
      </c>
      <c r="I6" t="s">
        <v>890</v>
      </c>
      <c r="J6" t="s">
        <v>53</v>
      </c>
      <c r="K6" s="1">
        <f>H6*10</f>
        <v>1123.9405976047906</v>
      </c>
      <c r="L6" t="s">
        <v>891</v>
      </c>
    </row>
    <row r="7" ht="18" customHeight="1"/>
    <row r="8" ht="18" customHeight="1"/>
  </sheetData>
  <mergeCells count="4">
    <mergeCell ref="B3:L3"/>
    <mergeCell ref="B4:G4"/>
    <mergeCell ref="B5:L5"/>
    <mergeCell ref="B6:G6"/>
  </mergeCells>
  <pageMargins left="0.75" right="0.75" top="1" bottom="1" header="0.5" footer="0.5"/>
  <ignoredErrors>
    <ignoredError numberStoredAsText="1" sqref="B2:L8"/>
  </ignoredErrors>
</worksheet>
</file>

<file path=xl/worksheets/sheet20.xml><?xml version="1.0" encoding="utf-8"?>
<worksheet xmlns="http://schemas.openxmlformats.org/spreadsheetml/2006/main" xmlns:r="http://schemas.openxmlformats.org/officeDocument/2006/relationships">
  <dimension ref="A1:Z35"/>
  <sheetViews>
    <sheetView workbookViewId="0" rightToLeft="0"/>
  </sheetViews>
  <cols>
    <col min="1" max="1" customWidth="1" width="13.140625"/>
    <col min="2" max="2" customWidth="1" width="9.140625"/>
    <col min="3" max="3" customWidth="1" width="9.140625"/>
    <col min="4" max="4" customWidth="1" width="9.140625"/>
    <col min="5" max="5" customWidth="1" width="9.140625"/>
    <col min="6" max="6" customWidth="1" width="9.140625"/>
    <col min="7" max="7" customWidth="1" width="12.7109375"/>
    <col min="8" max="8" customWidth="1" width="9.140625"/>
    <col min="9" max="9" customWidth="1" width="9.140625"/>
    <col min="10" max="10" customWidth="1" width="9.140625"/>
    <col min="11" max="11" customWidth="1" width="9.28515625"/>
    <col min="12" max="12" customWidth="1" width="9.140625"/>
    <col min="13" max="13" customWidth="1" width="9.28515625"/>
    <col min="14" max="14" customWidth="1" width="9.140625"/>
    <col min="15" max="15" customWidth="1" width="12.7109375"/>
    <col min="16" max="16" customWidth="1" width="9.140625"/>
    <col min="17" max="17" customWidth="1" width="9.140625"/>
    <col min="18" max="18" customWidth="1" width="9.140625"/>
    <col min="19" max="19" customWidth="1" width="12.7109375"/>
    <col min="20" max="20" customWidth="1" width="9.140625"/>
    <col min="21" max="21" customWidth="1" width="9.140625"/>
    <col min="22" max="22" customWidth="1" width="9.140625"/>
    <col min="23" max="23" customWidth="1" width="9.140625"/>
    <col min="24" max="24" customWidth="1" width="9.140625"/>
    <col min="25" max="25" customWidth="1" width="16"/>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36.95" customHeight="1">
      <c r="A1" s="4" t="s">
        <f>'FOOTING DESIGN'!A2:N2</f>
        <v>48</v>
      </c>
    </row>
    <row r="2" ht="36.95" customHeight="1">
      <c r="A2" t="s">
        <v>893</v>
      </c>
      <c r="G2" s="2">
        <f>HYDRAULICS!E40</f>
        <v>101.6</v>
      </c>
      <c r="H2" t="s">
        <v>92</v>
      </c>
    </row>
    <row r="3" ht="36.95" customHeight="1">
      <c r="A3" t="s">
        <v>894</v>
      </c>
      <c r="G3" s="2">
        <f>'STABILITY CHECK FOR PIER'!E18-1+4</f>
        <v>96.46999999999998</v>
      </c>
      <c r="H3" t="s">
        <v>92</v>
      </c>
    </row>
    <row r="4" ht="36.95" customHeight="1">
      <c r="A4" t="s">
        <v>895</v>
      </c>
      <c r="G4" s="4">
        <f>'Deck Anchorage'!H11*1000</f>
        <v>750</v>
      </c>
      <c r="H4" t="s">
        <v>230</v>
      </c>
    </row>
    <row r="5" ht="36.95" customHeight="1">
      <c r="A5" t="s">
        <v>896</v>
      </c>
      <c r="G5">
        <v>300</v>
      </c>
      <c r="H5" t="s">
        <v>230</v>
      </c>
    </row>
    <row r="6" ht="36.95" customHeight="1">
      <c r="A6" t="s">
        <v>897</v>
      </c>
      <c r="G6">
        <f>(Y14-Y31-G5/1000)*1000</f>
        <v>4830.00000000001</v>
      </c>
      <c r="H6" t="s">
        <v>230</v>
      </c>
    </row>
    <row r="7" ht="36.95" customHeight="1">
      <c r="A7" t="s">
        <v>898</v>
      </c>
      <c r="G7">
        <f>4500</f>
        <v>4500</v>
      </c>
      <c r="H7" t="s">
        <v>230</v>
      </c>
      <c r="J7" t="s">
        <v>899</v>
      </c>
      <c r="K7">
        <v>1000</v>
      </c>
      <c r="L7" t="s">
        <v>230</v>
      </c>
    </row>
    <row r="8" ht="36.95" customHeight="1">
      <c r="A8" t="s">
        <v>900</v>
      </c>
      <c r="G8">
        <f>2500</f>
        <v>2500</v>
      </c>
      <c r="H8" t="s">
        <v>230</v>
      </c>
      <c r="J8" t="s">
        <v>899</v>
      </c>
      <c r="K8">
        <v>1000</v>
      </c>
      <c r="L8" t="s">
        <v>230</v>
      </c>
    </row>
    <row r="9" ht="36.95" customHeight="1">
      <c r="A9" t="s">
        <v>901</v>
      </c>
      <c r="G9">
        <v>1050</v>
      </c>
      <c r="H9" t="s">
        <v>230</v>
      </c>
    </row>
    <row r="10" ht="36.95" customHeight="1">
      <c r="A10" t="s">
        <v>902</v>
      </c>
      <c r="G10">
        <v>1200</v>
      </c>
      <c r="H10" t="s">
        <v>230</v>
      </c>
    </row>
    <row r="11" ht="36.95" customHeight="1">
      <c r="A11" t="s">
        <v>903</v>
      </c>
      <c r="G11">
        <v>300</v>
      </c>
      <c r="H11" t="s">
        <v>230</v>
      </c>
    </row>
    <row r="12" ht="36.95" customHeight="1">
      <c r="A12" t="s">
        <v>904</v>
      </c>
      <c r="G12">
        <v>1000</v>
      </c>
      <c r="H12" t="s">
        <v>230</v>
      </c>
    </row>
    <row r="13" ht="36.95" customHeight="1">
      <c r="M13">
        <f>G11</f>
        <v>300</v>
      </c>
    </row>
    <row r="14" ht="36.95" customHeight="1">
      <c r="X14" t="s">
        <v>905</v>
      </c>
      <c r="Y14" s="2">
        <f>G2</f>
        <v>101.6</v>
      </c>
      <c r="Z14" t="s">
        <v>92</v>
      </c>
    </row>
    <row r="15" ht="36.95" customHeight="1">
      <c r="A15">
        <f>G5</f>
        <v>300</v>
      </c>
      <c r="F15" t="s">
        <v>906</v>
      </c>
    </row>
    <row r="17" ht="36.95" customHeight="1">
      <c r="K17">
        <f>G4-G5</f>
        <v>450</v>
      </c>
      <c r="M17" t="s">
        <v>907</v>
      </c>
      <c r="Q17" t="s">
        <v>908</v>
      </c>
      <c r="W17">
        <f>G4</f>
        <v>750</v>
      </c>
    </row>
    <row r="18" ht="36.95" customHeight="1"/>
    <row r="20" ht="36.75" customHeight="1">
      <c r="J20">
        <f>G10</f>
        <v>1200</v>
      </c>
      <c r="N20" t="s">
        <v>909</v>
      </c>
    </row>
    <row r="21" ht="36.95" customHeight="1">
      <c r="B21">
        <f>G6</f>
        <v>4830.00000000001</v>
      </c>
    </row>
    <row r="22" ht="36.95" customHeight="1"/>
    <row r="23" ht="36.95" customHeight="1">
      <c r="K23">
        <f>B21-K17-J20-W30</f>
        <v>2180.00000000001</v>
      </c>
    </row>
    <row r="24" ht="36.95" customHeight="1"/>
    <row r="25" ht="36.95" customHeight="1"/>
    <row r="28" ht="36.95" customHeight="1">
      <c r="C28">
        <f>K7</f>
        <v>1000</v>
      </c>
      <c r="F28" t="s">
        <v>910</v>
      </c>
      <c r="S28" t="s">
        <v>911</v>
      </c>
      <c r="U28">
        <f>K8</f>
        <v>1000</v>
      </c>
    </row>
    <row r="30" ht="36.95" customHeight="1">
      <c r="W30">
        <f>G12</f>
        <v>1000</v>
      </c>
    </row>
    <row r="31" ht="36.95" customHeight="1">
      <c r="X31" t="s">
        <v>905</v>
      </c>
      <c r="Y31" s="2">
        <f>G3</f>
        <v>96.46999999999998</v>
      </c>
      <c r="Z31" t="s">
        <v>92</v>
      </c>
    </row>
    <row r="32" ht="36.95" customHeight="1">
      <c r="G32">
        <f>G7</f>
        <v>4500</v>
      </c>
      <c r="O32">
        <f>G9</f>
        <v>1050</v>
      </c>
      <c r="S32">
        <f>G8</f>
        <v>2500</v>
      </c>
    </row>
    <row r="33" ht="36.95" customHeight="1">
      <c r="M33">
        <f>G32+O32+S32</f>
        <v>8050</v>
      </c>
    </row>
    <row r="35" ht="36.95" customHeight="1">
      <c r="C35" t="s">
        <v>912</v>
      </c>
    </row>
  </sheetData>
  <mergeCells count="7">
    <mergeCell ref="A1:Z1"/>
    <mergeCell ref="K17:K18"/>
    <mergeCell ref="M17:M18"/>
    <mergeCell ref="B21:B23"/>
    <mergeCell ref="K23:K25"/>
    <mergeCell ref="C35:U35"/>
    <mergeCell ref="J20:K20"/>
  </mergeCells>
  <pageMargins left="0.75" right="0.75" top="1" bottom="1" header="0.5" footer="0.5"/>
  <ignoredErrors>
    <ignoredError numberStoredAsText="1" sqref="A1:Z35"/>
  </ignoredErrors>
</worksheet>
</file>

<file path=xl/worksheets/sheet21.xml><?xml version="1.0" encoding="utf-8"?>
<worksheet xmlns="http://schemas.openxmlformats.org/spreadsheetml/2006/main" xmlns:r="http://schemas.openxmlformats.org/officeDocument/2006/relationships">
  <dimension ref="A1:H161"/>
  <sheetViews>
    <sheetView workbookViewId="0" rightToLeft="0"/>
  </sheetViews>
  <cols>
    <col min="1" max="1" customWidth="1" width="13.7109375"/>
    <col min="2" max="2" customWidth="1" width="48.7109375"/>
    <col min="3" max="3" customWidth="1" width="19.5703125"/>
    <col min="4" max="4" customWidth="1" width="14.7109375"/>
    <col min="5" max="5" customWidth="1" width="11.140625"/>
    <col min="6" max="6" customWidth="1" width="9.5703125"/>
    <col min="7" max="7" customWidth="1" width="16.42578125"/>
    <col min="8" max="8" customWidth="1" width="7.140625"/>
  </cols>
  <sheetData>
    <row r="1" ht="15.75" customHeight="1">
      <c r="A1" t="s">
        <v>913</v>
      </c>
    </row>
    <row r="2" ht="15.75" customHeight="1">
      <c r="A2" s="4" t="s">
        <f>'TYPE1-AbutMENT Drawing'!A1:Z1</f>
        <v>48</v>
      </c>
    </row>
    <row r="3" ht="15.75" customHeight="1">
      <c r="A3" t="s">
        <v>914</v>
      </c>
      <c r="B3" t="s">
        <v>915</v>
      </c>
      <c r="C3" t="s">
        <v>916</v>
      </c>
    </row>
    <row r="4" ht="15" customHeight="1">
      <c r="B4" t="s">
        <v>917</v>
      </c>
      <c r="C4" t="s">
        <v>918</v>
      </c>
      <c r="D4" t="s">
        <v>919</v>
      </c>
      <c r="F4" s="1">
        <v>8.4</v>
      </c>
      <c r="G4" s="1" t="s">
        <v>92</v>
      </c>
    </row>
    <row r="5" ht="15" customHeight="1">
      <c r="C5" t="s">
        <v>920</v>
      </c>
    </row>
    <row r="6" ht="15" customHeight="1">
      <c r="B6" t="s">
        <v>921</v>
      </c>
      <c r="C6" t="s">
        <v>922</v>
      </c>
    </row>
    <row r="7" ht="15" customHeight="1">
      <c r="B7" t="s">
        <v>923</v>
      </c>
      <c r="C7" t="s">
        <v>924</v>
      </c>
    </row>
    <row r="8" ht="15" customHeight="1">
      <c r="B8" t="s">
        <v>925</v>
      </c>
      <c r="C8" t="s">
        <v>926</v>
      </c>
      <c r="F8">
        <v>35</v>
      </c>
      <c r="G8" t="s">
        <v>927</v>
      </c>
    </row>
    <row r="9" ht="15" customHeight="1">
      <c r="C9" t="s">
        <v>928</v>
      </c>
      <c r="E9">
        <v>18</v>
      </c>
      <c r="F9" t="s">
        <v>929</v>
      </c>
    </row>
    <row r="10" ht="15" customHeight="1">
      <c r="C10" t="s">
        <v>930</v>
      </c>
      <c r="F10">
        <v>17.5</v>
      </c>
      <c r="G10" t="s">
        <v>927</v>
      </c>
    </row>
    <row r="11" ht="15" customHeight="1">
      <c r="B11" t="s">
        <v>931</v>
      </c>
      <c r="C11" t="s">
        <v>932</v>
      </c>
    </row>
    <row r="12" ht="15" customHeight="1">
      <c r="B12" t="s">
        <v>933</v>
      </c>
    </row>
    <row r="13" ht="15" customHeight="1">
      <c r="B13" t="s">
        <v>934</v>
      </c>
      <c r="C13" t="s">
        <v>53</v>
      </c>
      <c r="D13" s="1">
        <f>'STABILITY CHECK FOR PIER'!P46/8.4</f>
        <v>177.84689142857164</v>
      </c>
      <c r="E13" t="s">
        <v>935</v>
      </c>
    </row>
    <row r="14" ht="15" customHeight="1">
      <c r="B14" t="s">
        <v>936</v>
      </c>
      <c r="C14" t="s">
        <v>53</v>
      </c>
      <c r="D14" s="1">
        <f>'STABILITY CHECK FOR PIER'!F63/8.4</f>
        <v>93.84123182207014</v>
      </c>
      <c r="E14" t="s">
        <v>935</v>
      </c>
    </row>
    <row r="15" ht="30.75" customHeight="1">
      <c r="B15" t="s">
        <v>937</v>
      </c>
    </row>
    <row r="16" ht="14.25" customHeight="1">
      <c r="B16" t="s">
        <v>938</v>
      </c>
    </row>
    <row r="17" ht="15.75" customHeight="1">
      <c r="A17" t="s">
        <v>939</v>
      </c>
    </row>
    <row r="18" ht="33.75" customHeight="1">
      <c r="B18" t="s">
        <v>940</v>
      </c>
    </row>
    <row r="19" ht="15.75" customHeight="1">
      <c r="A19" t="s">
        <v>941</v>
      </c>
    </row>
    <row r="20" ht="15.75" customHeight="1">
      <c r="A20" t="s">
        <v>942</v>
      </c>
      <c r="B20" t="s">
        <v>943</v>
      </c>
    </row>
    <row r="21" ht="15" customHeight="1">
      <c r="B21" t="s">
        <v>944</v>
      </c>
      <c r="C21">
        <v>0.2</v>
      </c>
      <c r="D21" t="s">
        <v>199</v>
      </c>
      <c r="E21">
        <v>1000</v>
      </c>
      <c r="F21" t="s">
        <v>146</v>
      </c>
      <c r="G21">
        <f>C21*E21</f>
        <v>200</v>
      </c>
      <c r="H21" t="s">
        <v>204</v>
      </c>
    </row>
    <row r="22" ht="15" customHeight="1">
      <c r="B22" t="s">
        <v>945</v>
      </c>
    </row>
    <row r="23" ht="15" customHeight="1">
      <c r="B23" t="s">
        <v>946</v>
      </c>
      <c r="C23">
        <f>G21</f>
        <v>200</v>
      </c>
      <c r="D23" t="s">
        <v>107</v>
      </c>
      <c r="E23">
        <v>2</v>
      </c>
      <c r="F23" t="s">
        <v>146</v>
      </c>
      <c r="G23">
        <f>C23/E23</f>
        <v>100</v>
      </c>
      <c r="H23" t="s">
        <v>204</v>
      </c>
    </row>
    <row r="24" ht="15" customHeight="1">
      <c r="B24" t="s">
        <v>947</v>
      </c>
      <c r="C24">
        <f>G23</f>
        <v>100</v>
      </c>
      <c r="D24" t="s">
        <v>107</v>
      </c>
      <c r="E24" s="1">
        <f>F4</f>
        <v>8.4</v>
      </c>
      <c r="F24" t="s">
        <v>146</v>
      </c>
      <c r="G24">
        <f>ROUNDUP(C24/E24,2)</f>
        <v>11.91</v>
      </c>
      <c r="H24" t="s">
        <v>948</v>
      </c>
    </row>
    <row r="25" ht="15.75" customHeight="1">
      <c r="A25" t="s">
        <v>949</v>
      </c>
      <c r="B25" t="s">
        <v>950</v>
      </c>
    </row>
    <row r="26" ht="15" customHeight="1">
      <c r="B26" t="s">
        <v>951</v>
      </c>
      <c r="D26">
        <v>17</v>
      </c>
      <c r="E26" t="s">
        <v>952</v>
      </c>
    </row>
    <row r="27" ht="15" customHeight="1">
      <c r="B27" t="s">
        <v>953</v>
      </c>
    </row>
    <row r="28" ht="18" customHeight="1">
      <c r="B28" t="s">
        <v>954</v>
      </c>
      <c r="C28" s="21">
        <f>11.7*10^-6</f>
        <v>0.000011699999999999998</v>
      </c>
      <c r="D28" t="s">
        <v>955</v>
      </c>
    </row>
    <row r="29" ht="15" customHeight="1">
      <c r="B29" t="s">
        <v>956</v>
      </c>
      <c r="C29">
        <f>D26</f>
        <v>17</v>
      </c>
      <c r="D29" t="s">
        <v>91</v>
      </c>
      <c r="E29">
        <f>C28</f>
        <v>0.000011699999999999998</v>
      </c>
      <c r="F29" t="s">
        <v>53</v>
      </c>
      <c r="G29" s="21">
        <f>C29*E29</f>
        <v>0.00019889999999999996</v>
      </c>
    </row>
    <row r="30" ht="25.5" customHeight="1">
      <c r="B30" t="s">
        <v>957</v>
      </c>
      <c r="C30" s="21">
        <f>2*10^-4</f>
        <v>0.0002</v>
      </c>
    </row>
    <row r="31" ht="15" customHeight="1">
      <c r="B31" t="s">
        <v>958</v>
      </c>
      <c r="C31" s="21">
        <f>G29</f>
        <v>0.00019889999999999996</v>
      </c>
      <c r="D31" t="s">
        <v>148</v>
      </c>
      <c r="E31" s="21">
        <f>C30</f>
        <v>0.0002</v>
      </c>
      <c r="F31" t="s">
        <v>53</v>
      </c>
      <c r="G31" s="21">
        <f>E31+C31</f>
        <v>0.0003989</v>
      </c>
    </row>
    <row r="32" ht="51.75" customHeight="1">
      <c r="B32" t="s">
        <v>959</v>
      </c>
      <c r="C32" s="21">
        <f>G31</f>
        <v>0.0003989</v>
      </c>
      <c r="D32" t="s">
        <v>91</v>
      </c>
      <c r="E32">
        <f>'STABILITY CHECK FOR PIER'!D27*1000</f>
        <v>8799.999999999998</v>
      </c>
      <c r="F32" t="s">
        <v>960</v>
      </c>
      <c r="G32" s="21">
        <f>C32*E32/2</f>
        <v>1.7551599999999996</v>
      </c>
      <c r="H32" t="s">
        <v>230</v>
      </c>
    </row>
    <row r="33" ht="15" customHeight="1">
      <c r="B33" t="s">
        <v>961</v>
      </c>
      <c r="C33" t="s">
        <v>962</v>
      </c>
      <c r="D33" t="s">
        <v>53</v>
      </c>
      <c r="E33">
        <f>ROUNDUP(5700*(30^0.5),2)</f>
        <v>31220.19</v>
      </c>
      <c r="F33" t="s">
        <v>232</v>
      </c>
    </row>
    <row r="34" ht="30" customHeight="1">
      <c r="B34" t="s">
        <v>963</v>
      </c>
      <c r="C34" s="21">
        <f>G31</f>
        <v>0.0003989</v>
      </c>
      <c r="D34" t="s">
        <v>91</v>
      </c>
      <c r="E34">
        <f>E33</f>
        <v>31220.19</v>
      </c>
      <c r="F34" t="s">
        <v>53</v>
      </c>
      <c r="G34" s="1">
        <f>G31*E33</f>
        <v>12.453733791</v>
      </c>
      <c r="H34" t="s">
        <v>232</v>
      </c>
    </row>
    <row r="35" ht="45" customHeight="1">
      <c r="B35" t="s">
        <v>964</v>
      </c>
      <c r="C35" s="21">
        <f>G34</f>
        <v>12.453733791</v>
      </c>
      <c r="D35" t="s">
        <v>91</v>
      </c>
      <c r="E35">
        <f>'STABILITY CHECK FOR PIER'!H27*1000</f>
        <v>750</v>
      </c>
      <c r="F35" t="s">
        <v>53</v>
      </c>
      <c r="G35" s="1">
        <f>C35*E35</f>
        <v>9340.300343249999</v>
      </c>
      <c r="H35" t="s">
        <v>965</v>
      </c>
    </row>
    <row r="36" ht="15" customHeight="1">
      <c r="F36" t="s">
        <v>53</v>
      </c>
      <c r="G36" s="1">
        <f>G35/1000</f>
        <v>9.340300343249998</v>
      </c>
      <c r="H36" t="s">
        <v>935</v>
      </c>
    </row>
    <row r="37" ht="15.75" customHeight="1">
      <c r="A37" t="s">
        <v>966</v>
      </c>
      <c r="B37" t="s">
        <v>967</v>
      </c>
    </row>
    <row r="38" ht="15.75" customHeight="1">
      <c r="A38" t="s">
        <v>1</v>
      </c>
      <c r="B38" t="s">
        <v>968</v>
      </c>
    </row>
    <row r="39" ht="15" customHeight="1">
      <c r="B39" t="s">
        <v>969</v>
      </c>
      <c r="D39" t="s">
        <v>53</v>
      </c>
      <c r="E39" s="1">
        <f>200*(1.2+0.975)/(11.1*15)</f>
        <v>2.612612612612612</v>
      </c>
      <c r="F39" t="s">
        <v>935</v>
      </c>
    </row>
    <row r="40" ht="15" customHeight="1">
      <c r="B40" t="s">
        <v>970</v>
      </c>
    </row>
    <row r="41" ht="15.75" customHeight="1">
      <c r="A41" t="s">
        <v>971</v>
      </c>
    </row>
    <row r="42" ht="20.25" customHeight="1">
      <c r="B42" t="s">
        <v>972</v>
      </c>
    </row>
    <row r="43" ht="19.5" customHeight="1">
      <c r="B43" t="s">
        <v>973</v>
      </c>
    </row>
    <row r="44" ht="20.25" customHeight="1">
      <c r="B44" t="s">
        <v>974</v>
      </c>
    </row>
    <row r="45" ht="15" customHeight="1">
      <c r="B45" t="s">
        <v>975</v>
      </c>
    </row>
    <row r="46" ht="15" customHeight="1">
      <c r="B46" t="s">
        <v>976</v>
      </c>
    </row>
    <row r="47" ht="15" customHeight="1">
      <c r="B47" t="s">
        <v>977</v>
      </c>
    </row>
    <row r="48" ht="15" customHeight="1">
      <c r="B48" t="s">
        <v>978</v>
      </c>
    </row>
    <row r="49" ht="15" customHeight="1">
      <c r="B49" t="s">
        <v>979</v>
      </c>
    </row>
    <row r="50" ht="15" customHeight="1">
      <c r="B50" t="s">
        <v>980</v>
      </c>
    </row>
    <row r="51" ht="15" customHeight="1">
      <c r="B51" t="s">
        <v>981</v>
      </c>
    </row>
    <row r="52" ht="15" customHeight="1">
      <c r="B52" t="s">
        <v>982</v>
      </c>
      <c r="C52">
        <v>90</v>
      </c>
      <c r="D52">
        <v>0</v>
      </c>
      <c r="F52" t="s">
        <v>983</v>
      </c>
      <c r="G52">
        <f>F8</f>
        <v>35</v>
      </c>
      <c r="H52">
        <v>0</v>
      </c>
    </row>
    <row r="53" ht="15" customHeight="1">
      <c r="B53" t="s">
        <v>984</v>
      </c>
      <c r="C53">
        <f>F10</f>
        <v>17.5</v>
      </c>
      <c r="D53">
        <v>0</v>
      </c>
      <c r="F53" t="s">
        <v>985</v>
      </c>
      <c r="G53">
        <v>0</v>
      </c>
      <c r="H53">
        <v>0</v>
      </c>
    </row>
    <row r="54" ht="19.5" customHeight="1">
      <c r="B54" t="s">
        <v>986</v>
      </c>
      <c r="C54">
        <f>ROUNDUP(0.496,3)</f>
        <v>0.496</v>
      </c>
      <c r="D54" t="s">
        <v>987</v>
      </c>
    </row>
    <row r="55" ht="15" customHeight="1">
      <c r="B55" t="s">
        <v>988</v>
      </c>
      <c r="C55" s="1">
        <f>'TYPE1-AbutMENT Drawing'!G6/1000</f>
        <v>4.83000000000001</v>
      </c>
      <c r="D55" t="s">
        <v>85</v>
      </c>
    </row>
    <row r="56" ht="15" customHeight="1">
      <c r="B56" t="s">
        <v>989</v>
      </c>
    </row>
    <row r="57" ht="14.25" customHeight="1">
      <c r="B57">
        <f>0.5</f>
        <v>0.5</v>
      </c>
      <c r="C57" t="s">
        <v>91</v>
      </c>
      <c r="D57">
        <f>E9</f>
        <v>18</v>
      </c>
      <c r="E57" t="s">
        <v>91</v>
      </c>
      <c r="F57" s="1">
        <f>C55</f>
        <v>4.83000000000001</v>
      </c>
      <c r="G57" t="s">
        <v>990</v>
      </c>
      <c r="H57">
        <f>C54</f>
        <v>0.496</v>
      </c>
    </row>
    <row r="58" ht="15" customHeight="1">
      <c r="B58" t="s">
        <v>53</v>
      </c>
      <c r="C58" s="1">
        <f>ROUNDUP(B57*D57*F57*F57*H57,2)</f>
        <v>104.15</v>
      </c>
      <c r="D58" t="s">
        <v>935</v>
      </c>
    </row>
    <row r="59" ht="15" customHeight="1">
      <c r="B59" t="s">
        <v>991</v>
      </c>
      <c r="C59">
        <f>0.42</f>
        <v>0.42</v>
      </c>
      <c r="D59" t="s">
        <v>91</v>
      </c>
      <c r="E59" s="1">
        <f>C55</f>
        <v>4.83000000000001</v>
      </c>
      <c r="F59" t="s">
        <v>53</v>
      </c>
      <c r="G59">
        <f>ROUNDUP(C59*E59,2)</f>
        <v>2.03</v>
      </c>
      <c r="H59" t="s">
        <v>85</v>
      </c>
    </row>
    <row r="60" ht="15" customHeight="1">
      <c r="B60" t="s">
        <v>992</v>
      </c>
    </row>
    <row r="61" ht="15.75" customHeight="1">
      <c r="A61" t="s">
        <v>993</v>
      </c>
    </row>
    <row r="62" ht="15" customHeight="1">
      <c r="B62" t="s">
        <v>994</v>
      </c>
    </row>
    <row r="63" ht="15" customHeight="1">
      <c r="B63" t="s">
        <v>995</v>
      </c>
      <c r="E63">
        <f>ROUNDUP(1.2*18*0.496*$C$55,2)</f>
        <v>51.75</v>
      </c>
      <c r="F63" t="s">
        <v>935</v>
      </c>
    </row>
    <row r="64" ht="15" customHeight="1">
      <c r="B64" t="s">
        <v>996</v>
      </c>
      <c r="E64">
        <f>ROUNDUP(0.3*24*0.496*$C$55,2)</f>
        <v>17.25</v>
      </c>
      <c r="F64" t="s">
        <v>935</v>
      </c>
    </row>
    <row r="65">
      <c r="D65" t="s">
        <v>93</v>
      </c>
      <c r="E65">
        <f>SUM(E63:E64)</f>
        <v>69</v>
      </c>
      <c r="F65" t="s">
        <v>935</v>
      </c>
    </row>
    <row r="66" ht="15" customHeight="1">
      <c r="B66" t="s">
        <v>997</v>
      </c>
      <c r="C66">
        <f>'TYPE1-AbutMENT Drawing'!B21/2000</f>
        <v>2.415000000000005</v>
      </c>
      <c r="D66" t="s">
        <v>998</v>
      </c>
    </row>
    <row r="67" ht="15" customHeight="1">
      <c r="B67" t="s">
        <v>999</v>
      </c>
    </row>
    <row r="68" ht="15" customHeight="1">
      <c r="B68" t="s">
        <f>CONCATENATE("= (1.2 x 18 + 0.3 x 24 ) x ",'TYPE1-AbutMENT Drawing'!G32/1000," = ")</f>
        <v>1000</v>
      </c>
      <c r="C68">
        <f>((1.2*18)+(0.3*24))*'TYPE1-AbutMENT Drawing'!G32/1000</f>
        <v>129.6</v>
      </c>
      <c r="D68" t="s">
        <v>935</v>
      </c>
    </row>
    <row r="69" ht="15.75" customHeight="1">
      <c r="A69" t="s">
        <v>1001</v>
      </c>
    </row>
    <row r="70" ht="15" customHeight="1">
      <c r="B70" t="s">
        <v>1002</v>
      </c>
      <c r="C70" t="s">
        <f>CONCATENATE("18 x",'TYPE1-AbutMENT Drawing'!G32/1000,"x (",'TYPE1-AbutMENT Drawing'!G6/1000," - ",'TYPE1-AbutMENT Drawing'!W30/1000,")")</f>
        <v>1003</v>
      </c>
      <c r="D70" t="s">
        <v>83</v>
      </c>
      <c r="E70">
        <f>C124</f>
        <v>34.48</v>
      </c>
      <c r="F70" t="s">
        <v>935</v>
      </c>
    </row>
    <row r="71" ht="15.75" customHeight="1">
      <c r="A71" t="s">
        <v>1004</v>
      </c>
    </row>
    <row r="72" ht="15" customHeight="1">
      <c r="B72" t="s">
        <v>1005</v>
      </c>
    </row>
    <row r="73" ht="15" customHeight="1">
      <c r="B73" t="s">
        <v>1006</v>
      </c>
    </row>
    <row r="74" ht="15" customHeight="1">
      <c r="B74" t="s">
        <v>1007</v>
      </c>
    </row>
    <row r="75" ht="15.75" customHeight="1">
      <c r="B75" t="s">
        <v>1008</v>
      </c>
    </row>
    <row r="76" ht="15" customHeight="1">
      <c r="B76" t="s">
        <v>1009</v>
      </c>
    </row>
    <row r="77" ht="15" customHeight="1">
      <c r="B77" t="s">
        <v>1010</v>
      </c>
      <c r="C77" s="1">
        <f>G134</f>
        <v>471.349</v>
      </c>
      <c r="D77" t="s">
        <v>323</v>
      </c>
    </row>
    <row r="78" ht="15" customHeight="1">
      <c r="B78" t="s">
        <v>1011</v>
      </c>
      <c r="C78" s="1">
        <f>F134</f>
        <v>4132.472</v>
      </c>
      <c r="D78" t="s">
        <v>323</v>
      </c>
    </row>
    <row r="79" ht="15" customHeight="1">
      <c r="B79" t="s">
        <v>1012</v>
      </c>
      <c r="C79" s="1">
        <f>C78</f>
        <v>4132.472</v>
      </c>
      <c r="D79" t="s">
        <v>107</v>
      </c>
      <c r="E79" s="1">
        <f>C77</f>
        <v>471.349</v>
      </c>
      <c r="F79" t="s">
        <v>53</v>
      </c>
      <c r="G79">
        <f>ROUND(C79/E79,2)</f>
        <v>8.77</v>
      </c>
    </row>
    <row r="80" ht="15" customHeight="1">
      <c r="B80" t="s">
        <v>1013</v>
      </c>
      <c r="G80" t="s">
        <v>1014</v>
      </c>
    </row>
    <row r="81" ht="19.5" customHeight="1">
      <c r="B81" t="s">
        <v>1015</v>
      </c>
    </row>
    <row r="82" ht="15" customHeight="1">
      <c r="C82" t="s">
        <f>CONCATENATE("=(",F134," - ",G134," ) / ",C134," ) =")</f>
        <v>1016</v>
      </c>
      <c r="E82">
        <f>ROUND((F134-G134)/C134,2)</f>
        <v>3.65</v>
      </c>
      <c r="F82" t="s">
        <v>85</v>
      </c>
    </row>
    <row r="83" ht="15.75" customHeight="1">
      <c r="A83" t="s">
        <v>1017</v>
      </c>
    </row>
    <row r="84" ht="19.5" customHeight="1">
      <c r="B84" t="s">
        <v>1018</v>
      </c>
      <c r="C84">
        <f>'TYPE1-AbutMENT Drawing'!M33/1000</f>
        <v>8.05</v>
      </c>
      <c r="D84" t="s">
        <v>1019</v>
      </c>
      <c r="E84" s="1">
        <f>C84/6</f>
        <v>1.3416666666666668</v>
      </c>
      <c r="F84" t="s">
        <v>85</v>
      </c>
    </row>
    <row r="85" ht="19.5" customHeight="1">
      <c r="B85" t="s">
        <v>1020</v>
      </c>
      <c r="C85" s="1">
        <f>'TYPE1-AbutMENT Drawing'!M33/2000</f>
        <v>4.025</v>
      </c>
      <c r="D85" t="s">
        <v>136</v>
      </c>
      <c r="E85">
        <f>E82</f>
        <v>3.65</v>
      </c>
      <c r="F85" t="s">
        <v>53</v>
      </c>
      <c r="G85" s="1">
        <f>ROUNDUP(C85-E85,2)</f>
        <v>0.38</v>
      </c>
      <c r="H85" t="s">
        <v>85</v>
      </c>
    </row>
    <row r="86">
      <c r="F86" t="s">
        <v>1021</v>
      </c>
      <c r="G86" s="1">
        <f>E84</f>
        <v>1.3416666666666668</v>
      </c>
      <c r="H86" t="s">
        <v>85</v>
      </c>
    </row>
    <row r="87" ht="15.75" customHeight="1">
      <c r="B87" t="s">
        <v>1022</v>
      </c>
    </row>
    <row r="88" ht="15" customHeight="1">
      <c r="B88" t="s">
        <v>1023</v>
      </c>
    </row>
    <row r="89" ht="15" customHeight="1">
      <c r="B89" t="s">
        <v>1010</v>
      </c>
      <c r="C89" s="1">
        <f>G128</f>
        <v>419.06399999999996</v>
      </c>
      <c r="D89" t="s">
        <v>323</v>
      </c>
    </row>
    <row r="90" ht="15" customHeight="1">
      <c r="B90" t="s">
        <v>1011</v>
      </c>
      <c r="C90" s="1">
        <f>F128</f>
        <v>3855.154</v>
      </c>
      <c r="D90" t="s">
        <v>323</v>
      </c>
    </row>
    <row r="91" ht="15" customHeight="1">
      <c r="B91" t="s">
        <v>1012</v>
      </c>
      <c r="C91" s="1">
        <f>C90</f>
        <v>3855.154</v>
      </c>
      <c r="D91" t="s">
        <v>107</v>
      </c>
      <c r="E91" s="1">
        <f>C89</f>
        <v>419.06399999999996</v>
      </c>
      <c r="F91" t="s">
        <v>53</v>
      </c>
      <c r="G91">
        <f>ROUND(C91/E91,2)</f>
        <v>9.2</v>
      </c>
    </row>
    <row r="92" ht="15" customHeight="1">
      <c r="B92" t="s">
        <v>1013</v>
      </c>
      <c r="G92" t="s">
        <v>1014</v>
      </c>
    </row>
    <row r="93" ht="19.5" customHeight="1">
      <c r="B93" t="s">
        <v>1024</v>
      </c>
    </row>
    <row r="94" ht="15" customHeight="1">
      <c r="C94" t="s">
        <f>CONCATENATE("=(",F128," - ",G128," ) / ",C128," ) =")</f>
        <v>1025</v>
      </c>
      <c r="E94">
        <f>ROUND((F128-G128)/C128,2)</f>
        <v>3.79</v>
      </c>
      <c r="F94" t="s">
        <v>85</v>
      </c>
    </row>
    <row r="95" ht="15.75" customHeight="1">
      <c r="A95" t="s">
        <v>1026</v>
      </c>
    </row>
    <row r="96" ht="15" customHeight="1">
      <c r="B96" t="s">
        <v>1027</v>
      </c>
    </row>
    <row r="97" ht="15" customHeight="1">
      <c r="B97" t="s">
        <v>1028</v>
      </c>
      <c r="C97" s="1">
        <f>C134</f>
        <v>1004.0409999999999</v>
      </c>
      <c r="D97" t="s">
        <v>204</v>
      </c>
    </row>
    <row r="98" ht="15" customHeight="1">
      <c r="D98" s="1">
        <f>C134</f>
        <v>1004.0409999999999</v>
      </c>
      <c r="E98" t="s">
        <v>1029</v>
      </c>
    </row>
    <row r="99" ht="15.75" customHeight="1">
      <c r="A99" t="s">
        <v>1030</v>
      </c>
    </row>
    <row r="100" ht="15.75" customHeight="1">
      <c r="B100" t="s">
        <v>1031</v>
      </c>
      <c r="C100" t="s">
        <f>CONCATENATE($C$97,"/","(",'TYPE1-AbutMENT Drawing'!$M$33/1000,"x",1,")","(1 +","(",6,"x",$G$85,"/",'TYPE1-AbutMENT Drawing'!$M$33/1000,"))")</f>
        <v>1032</v>
      </c>
      <c r="E100" t="s">
        <v>53</v>
      </c>
      <c r="F100">
        <f>ROUNDUP(($D$98*1000/'TYPE1-AbutMENT Drawing'!$M$33)*(1+$G$85*6*1000/'TYPE1-AbutMENT Drawing'!$M$33),2)</f>
        <v>160.06</v>
      </c>
      <c r="G100" t="s">
        <v>280</v>
      </c>
    </row>
    <row r="101">
      <c r="B101" t="s">
        <v>1033</v>
      </c>
      <c r="C101" t="s">
        <f>CONCATENATE($C$97,"/","(",'TYPE1-AbutMENT Drawing'!$M$33/1000,"x",1,")","(1 -","(",6,"x",$G$85,"/",'TYPE1-AbutMENT Drawing'!$M$33/1000,"))")</f>
        <v>1034</v>
      </c>
      <c r="E101" t="s">
        <v>53</v>
      </c>
      <c r="F101">
        <f>ROUNDUP(($D$98*1000/'TYPE1-AbutMENT Drawing'!$M$33)*(1-$G$85*6*1000/'TYPE1-AbutMENT Drawing'!$M$33),2)</f>
        <v>89.4</v>
      </c>
      <c r="G101" t="s">
        <v>280</v>
      </c>
    </row>
    <row r="102" ht="16.5" customHeight="1">
      <c r="A102" t="s">
        <v>1035</v>
      </c>
    </row>
    <row r="103" ht="16.5" customHeight="1">
      <c r="A103" t="s">
        <v>1036</v>
      </c>
      <c r="B103" t="s">
        <v>1037</v>
      </c>
      <c r="C103" t="s">
        <v>1038</v>
      </c>
      <c r="E103" t="s">
        <v>1039</v>
      </c>
    </row>
    <row r="104" ht="15.75" customHeight="1">
      <c r="A104" t="s">
        <v>1040</v>
      </c>
      <c r="C104" t="s">
        <v>73</v>
      </c>
      <c r="D104" t="s">
        <v>1041</v>
      </c>
      <c r="E104" t="s">
        <v>1042</v>
      </c>
    </row>
    <row r="105" ht="20.25" customHeight="1">
      <c r="E105" t="s">
        <v>85</v>
      </c>
      <c r="F105" t="s">
        <v>1043</v>
      </c>
      <c r="G105" t="s">
        <v>1044</v>
      </c>
    </row>
    <row r="106" ht="16.5" customHeight="1">
      <c r="A106" t="s">
        <v>734</v>
      </c>
      <c r="B106" t="s">
        <v>1045</v>
      </c>
      <c r="C106" s="1">
        <f>$D$13</f>
        <v>177.84689142857164</v>
      </c>
      <c r="D106" t="s">
        <v>136</v>
      </c>
      <c r="E106">
        <f>ROUNDUP(('TYPE1-AbutMENT Drawing'!S32+('TYPE1-AbutMENT Drawing'!O32-'TYPE1-AbutMENT Drawing'!M13)/2)/1000,2)</f>
        <v>2.88</v>
      </c>
      <c r="F106" s="2">
        <f>ROUNDUP((C106*E106),2)</f>
        <v>512.2</v>
      </c>
      <c r="G106" t="s">
        <v>136</v>
      </c>
    </row>
    <row r="107" ht="30.75" customHeight="1">
      <c r="A107" t="s">
        <v>736</v>
      </c>
      <c r="B107" t="s">
        <v>1046</v>
      </c>
      <c r="C107">
        <v>0</v>
      </c>
      <c r="D107" s="1">
        <f>$G$36</f>
        <v>9.340300343249998</v>
      </c>
      <c r="E107" s="1">
        <f>ROUNDUP(('TYPE1-AbutMENT Drawing'!$B$21-'TYPE1-AbutMENT Drawing'!$K$17)/1000,2)</f>
        <v>4.39</v>
      </c>
      <c r="F107" t="s">
        <v>136</v>
      </c>
      <c r="G107" s="2">
        <f>D107*E107</f>
        <v>41.00391850686749</v>
      </c>
    </row>
    <row r="108" ht="16.5" customHeight="1">
      <c r="A108" t="s">
        <v>738</v>
      </c>
      <c r="B108" t="s">
        <v>1047</v>
      </c>
      <c r="C108">
        <v>0</v>
      </c>
      <c r="D108" s="1">
        <f>C58</f>
        <v>104.15</v>
      </c>
      <c r="E108">
        <f>G59</f>
        <v>2.03</v>
      </c>
      <c r="F108" t="s">
        <v>136</v>
      </c>
      <c r="G108" s="2">
        <f>D108*E108</f>
        <v>211.4245</v>
      </c>
    </row>
    <row r="109" ht="30.75" customHeight="1">
      <c r="A109" t="s">
        <v>740</v>
      </c>
      <c r="B109" t="s">
        <v>1048</v>
      </c>
      <c r="C109">
        <v>0</v>
      </c>
      <c r="D109" s="1">
        <f>$E$65</f>
        <v>69</v>
      </c>
      <c r="E109">
        <f>C66</f>
        <v>2.415000000000005</v>
      </c>
      <c r="F109" t="s">
        <v>136</v>
      </c>
      <c r="G109" s="2">
        <f>D109*E109</f>
        <v>166.63500000000033</v>
      </c>
    </row>
    <row r="110" ht="15" customHeight="1">
      <c r="A110" t="s">
        <v>742</v>
      </c>
      <c r="B110" t="s">
        <v>1049</v>
      </c>
      <c r="C110" s="1">
        <f>C68</f>
        <v>129.6</v>
      </c>
      <c r="D110" t="s">
        <v>136</v>
      </c>
      <c r="E110">
        <f>('TYPE1-AbutMENT Drawing'!M33-'TYPE1-AbutMENT Drawing'!G32/2)/1000</f>
        <v>5.8</v>
      </c>
      <c r="F110">
        <f>C110*E110</f>
        <v>751.68</v>
      </c>
      <c r="G110" t="s">
        <v>136</v>
      </c>
    </row>
    <row r="111" ht="15.75" customHeight="1">
      <c r="B111" t="s">
        <v>1050</v>
      </c>
    </row>
    <row r="112" ht="15" customHeight="1">
      <c r="A112" t="s">
        <v>1051</v>
      </c>
      <c r="B112" t="s">
        <v>1052</v>
      </c>
      <c r="C112" s="1">
        <f>ROUNDUP('TYPE1-AbutMENT Drawing'!M33*'TYPE1-AbutMENT Drawing'!W30*24/1000000,2)</f>
        <v>193.2</v>
      </c>
      <c r="D112" t="s">
        <v>136</v>
      </c>
      <c r="E112">
        <f>'TYPE1-AbutMENT Drawing'!M33/2000</f>
        <v>4.025</v>
      </c>
      <c r="F112">
        <f>C112*E112</f>
        <v>777.63</v>
      </c>
      <c r="G112" t="s">
        <v>136</v>
      </c>
    </row>
    <row r="113" ht="15.75" customHeight="1">
      <c r="B113" t="s">
        <f>CONCATENATE('TYPE1-AbutMENT Drawing'!M33/1000,"x",'TYPE1-AbutMENT Drawing'!W30/1000,"x 24 =")</f>
        <v>1053</v>
      </c>
    </row>
    <row r="114" ht="15" customHeight="1">
      <c r="A114" t="s">
        <v>1054</v>
      </c>
      <c r="B114" t="s">
        <v>1055</v>
      </c>
      <c r="C114" s="1">
        <f>ROUNDUP('TYPE1-AbutMENT Drawing'!K23*'TYPE1-AbutMENT Drawing'!O32*24/1000000,2)</f>
        <v>54.94</v>
      </c>
      <c r="D114" t="s">
        <v>136</v>
      </c>
      <c r="E114">
        <f>ROUNDUP(('TYPE1-AbutMENT Drawing'!S32+'TYPE1-AbutMENT Drawing'!O32/2)/1000,2)</f>
        <v>3.03</v>
      </c>
      <c r="F114">
        <f>C114*E114</f>
        <v>166.4682</v>
      </c>
      <c r="G114" t="s">
        <v>136</v>
      </c>
    </row>
    <row r="115" ht="15.75" customHeight="1">
      <c r="B115" t="s">
        <f>CONCATENATE('TYPE1-AbutMENT Drawing'!K23/1000,"x",'TYPE1-AbutMENT Drawing'!O32/1000,"x 24 =")</f>
        <v>1056</v>
      </c>
    </row>
    <row r="116" ht="15" customHeight="1">
      <c r="A116" t="s">
        <v>1057</v>
      </c>
      <c r="B116" t="s">
        <v>1058</v>
      </c>
      <c r="C116" s="1">
        <f>ROUNDUP('TYPE1-AbutMENT Drawing'!J20*'TYPE1-AbutMENT Drawing'!O32*24/1000000,2)</f>
        <v>30.24</v>
      </c>
      <c r="D116" t="s">
        <v>136</v>
      </c>
      <c r="E116" t="s">
        <v>1059</v>
      </c>
      <c r="F116">
        <f>C116*E116</f>
        <v>50.8032</v>
      </c>
      <c r="G116" t="s">
        <v>136</v>
      </c>
    </row>
    <row r="117" ht="15.75" customHeight="1">
      <c r="B117" t="s">
        <f>CONCATENATE('TYPE1-AbutMENT Drawing'!J20/1000,"x",'TYPE1-AbutMENT Drawing'!O32/1000,"x 24 =")</f>
        <v>1060</v>
      </c>
    </row>
    <row r="118" ht="15" customHeight="1">
      <c r="A118" t="s">
        <v>1061</v>
      </c>
      <c r="B118" t="s">
        <v>1062</v>
      </c>
      <c r="C118" s="1">
        <f>ROUNDUP('TYPE1-AbutMENT Drawing'!K17*'TYPE1-AbutMENT Drawing'!M13*24/1000000,2)</f>
        <v>3.24</v>
      </c>
      <c r="D118" t="s">
        <v>136</v>
      </c>
      <c r="E118" t="s">
        <v>1063</v>
      </c>
      <c r="F118">
        <f>C118*E118</f>
        <v>6.6419999999999995</v>
      </c>
      <c r="G118" t="s">
        <v>136</v>
      </c>
    </row>
    <row r="119" ht="15.75" customHeight="1">
      <c r="B119" t="s">
        <f>CONCATENATE('TYPE1-AbutMENT Drawing'!M13/1000,"x",'TYPE1-AbutMENT Drawing'!K17/1000,"x 24 =")</f>
        <v>1064</v>
      </c>
    </row>
    <row r="120" ht="15" customHeight="1">
      <c r="A120" t="s">
        <v>1061</v>
      </c>
      <c r="B120" t="s">
        <v>1065</v>
      </c>
      <c r="C120" s="1">
        <f>0.5*24*('TYPE1-AbutMENT Drawing'!$G$8-500)/1000*('TYPE1-AbutMENT Drawing'!$G$6-'TYPE1-AbutMENT Drawing'!$G$10-'TYPE1-AbutMENT Drawing'!$G$12)/1000</f>
        <v>63.12000000000024</v>
      </c>
      <c r="D120" t="s">
        <v>136</v>
      </c>
      <c r="E120" s="1">
        <f>0.5+(2/3*('TYPE1-AbutMENT Drawing'!$G$8/1000-0.5))</f>
        <v>1.8333333333333333</v>
      </c>
      <c r="F120">
        <f>C120*E120</f>
        <v>115.72000000000044</v>
      </c>
      <c r="G120" t="s">
        <v>136</v>
      </c>
    </row>
    <row r="121" ht="15.75" customHeight="1">
      <c r="B121" t="s">
        <f>CONCATENATE("1/2x",('TYPE1-AbutMENT Drawing'!$G$8-500)/1000,"x",('TYPE1-AbutMENT Drawing'!$G$6-'TYPE1-AbutMENT Drawing'!$G$12-'TYPE1-AbutMENT Drawing'!$G10)/1000,"x",24,"=")</f>
        <v>1066</v>
      </c>
    </row>
    <row r="122" ht="15" customHeight="1">
      <c r="A122" t="s">
        <v>1061</v>
      </c>
      <c r="B122" t="s">
        <v>1067</v>
      </c>
      <c r="C122" s="1">
        <f>0.5*24*('TYPE1-AbutMENT Drawing'!$G$7-500)/1000*('TYPE1-AbutMENT Drawing'!$G$6-'TYPE1-AbutMENT Drawing'!$G$10-'TYPE1-AbutMENT Drawing'!$G$12)/1000</f>
        <v>126.24000000000048</v>
      </c>
      <c r="D122" t="s">
        <v>136</v>
      </c>
      <c r="E122" s="1">
        <f>'TYPE1-AbutMENT Drawing'!$M$33/1000-0.5-(2/3*('TYPE1-AbutMENT Drawing'!$G$7/1000-0.5))</f>
        <v>4.883333333333335</v>
      </c>
      <c r="F122">
        <f>C122*E122</f>
        <v>616.4720000000025</v>
      </c>
      <c r="G122" t="s">
        <v>136</v>
      </c>
    </row>
    <row r="123" ht="15.75" customHeight="1">
      <c r="B123" t="s">
        <f>CONCATENATE("1/2x",('TYPE1-AbutMENT Drawing'!$G$7-500)/1000,"x",('TYPE1-AbutMENT Drawing'!$G$6-'TYPE1-AbutMENT Drawing'!$G$12-'TYPE1-AbutMENT Drawing'!$G12)/1000,"x",24,"=")</f>
        <v>1068</v>
      </c>
    </row>
    <row r="124" ht="30" customHeight="1">
      <c r="A124" t="s">
        <v>1069</v>
      </c>
      <c r="B124" t="s">
        <v>1070</v>
      </c>
      <c r="C124">
        <f>ROUNDUP((0.5*('TYPE1-AbutMENT Drawing'!$B$21-'TYPE1-AbutMENT Drawing'!$W$30)/1000* $E$9),2)</f>
        <v>34.48</v>
      </c>
      <c r="D124" t="s">
        <v>136</v>
      </c>
      <c r="E124">
        <f>'TYPE1-AbutMENT Drawing'!$M$33/1000-0.25</f>
        <v>7.800000000000001</v>
      </c>
      <c r="F124">
        <f>C124*E124</f>
        <v>268.944</v>
      </c>
      <c r="G124" t="s">
        <v>136</v>
      </c>
    </row>
    <row r="125" ht="15.75" customHeight="1">
      <c r="B125" t="s">
        <f>CONCATENATE(0.5," x ",('TYPE1-AbutMENT Drawing'!B21-'TYPE1-AbutMENT Drawing'!W30)/1000," x ", E9,"=")</f>
        <v>1071</v>
      </c>
    </row>
    <row r="126" ht="30" customHeight="1">
      <c r="A126" t="s">
        <v>1069</v>
      </c>
      <c r="B126" t="s">
        <v>1072</v>
      </c>
      <c r="C126" s="1">
        <f>0.5*18*('TYPE1-AbutMENT Drawing'!$G$7-500)/1000*('TYPE1-AbutMENT Drawing'!$G$6-'TYPE1-AbutMENT Drawing'!$G$10-'TYPE1-AbutMENT Drawing'!$G$12)/1000</f>
        <v>94.68000000000036</v>
      </c>
      <c r="D126" t="s">
        <v>136</v>
      </c>
      <c r="E126" s="1">
        <f>'TYPE1-AbutMENT Drawing'!$M$33/1000-0.5-(1/3*('TYPE1-AbutMENT Drawing'!$G$7/1000-0.5))</f>
        <v>6.216666666666668</v>
      </c>
      <c r="F126">
        <f>C126*E126</f>
        <v>588.5940000000023</v>
      </c>
      <c r="G126" t="s">
        <v>136</v>
      </c>
    </row>
    <row r="127" ht="15.75" customHeight="1">
      <c r="B127" t="s">
        <f>CONCATENATE("1/2x",('TYPE1-AbutMENT Drawing'!$G$7-500)/1000,"x",('TYPE1-AbutMENT Drawing'!$G$6-'TYPE1-AbutMENT Drawing'!$G$12-'TYPE1-AbutMENT Drawing'!$G15)/1000,"x",18,"=")</f>
        <v>1073</v>
      </c>
    </row>
    <row r="128" ht="15.75" customHeight="1">
      <c r="A128" t="s">
        <v>1074</v>
      </c>
      <c r="B128" t="s">
        <v>1075</v>
      </c>
      <c r="C128" s="1">
        <f>ROUNDUP(SUM(C106:C127),3)</f>
        <v>907.587</v>
      </c>
      <c r="F128" s="1">
        <f>ROUNDUP(SUM(F106:F127),3)</f>
        <v>3855.154</v>
      </c>
      <c r="G128" s="1">
        <f>ROUNDUP(SUM(G106:G127),3)</f>
        <v>419.06399999999996</v>
      </c>
    </row>
    <row r="129" ht="16.5" customHeight="1">
      <c r="B129" t="s">
        <v>1076</v>
      </c>
    </row>
    <row r="130" ht="15" customHeight="1">
      <c r="A130" t="s">
        <v>1077</v>
      </c>
      <c r="B130" t="s">
        <v>1078</v>
      </c>
      <c r="C130" s="1">
        <f>D14</f>
        <v>93.84123182207014</v>
      </c>
      <c r="D130" t="s">
        <v>136</v>
      </c>
      <c r="E130">
        <f>('TYPE1-AbutMENT Drawing'!S32+('TYPE1-AbutMENT Drawing'!O32-'TYPE1-AbutMENT Drawing'!M13)/2)/1000</f>
        <v>2.875</v>
      </c>
      <c r="F130">
        <f>C130*E130</f>
        <v>269.79354148845164</v>
      </c>
      <c r="G130" t="s">
        <v>136</v>
      </c>
    </row>
    <row r="131" ht="15.75" customHeight="1">
      <c r="B131" t="s">
        <v>1079</v>
      </c>
    </row>
    <row r="132" ht="16.5" customHeight="1">
      <c r="A132" t="s">
        <v>1080</v>
      </c>
      <c r="B132" t="s">
        <v>1081</v>
      </c>
      <c r="C132" s="1">
        <f>E39</f>
        <v>2.612612612612612</v>
      </c>
      <c r="D132" t="s">
        <v>136</v>
      </c>
      <c r="E132">
        <f>E106</f>
        <v>2.88</v>
      </c>
      <c r="F132" s="2">
        <f>C132*E132</f>
        <v>7.524324324324323</v>
      </c>
      <c r="G132" t="s">
        <v>136</v>
      </c>
    </row>
    <row r="133" ht="16.5" customHeight="1">
      <c r="A133" t="s">
        <v>1082</v>
      </c>
      <c r="B133" t="s">
        <v>1083</v>
      </c>
      <c r="C133" s="1">
        <v>0</v>
      </c>
      <c r="D133" s="1">
        <f>G24</f>
        <v>11.91</v>
      </c>
      <c r="E133" s="1">
        <f>ROUNDUP(('TYPE1-AbutMENT Drawing'!$B$21-'TYPE1-AbutMENT Drawing'!$K$17)/1000,2)</f>
        <v>4.39</v>
      </c>
      <c r="G133">
        <f>D133*E133</f>
        <v>52.28489999999999</v>
      </c>
    </row>
    <row r="134" ht="15.75" customHeight="1">
      <c r="A134" t="s">
        <v>1084</v>
      </c>
      <c r="B134" t="s">
        <v>1085</v>
      </c>
      <c r="C134" s="1">
        <f>ROUNDUP(SUM(C128:C133),3)</f>
        <v>1004.0409999999999</v>
      </c>
      <c r="D134" s="1">
        <f>SUM(D106:D133)</f>
        <v>194.40030034325</v>
      </c>
      <c r="E134" t="s">
        <v>136</v>
      </c>
      <c r="F134" s="1">
        <f>ROUNDUP(SUM(F128:F133),3)</f>
        <v>4132.472</v>
      </c>
      <c r="G134" s="1">
        <f>ROUNDUP(SUM(G128:G133),3)</f>
        <v>471.349</v>
      </c>
    </row>
    <row r="135" ht="16.5" customHeight="1">
      <c r="B135" t="s">
        <v>1086</v>
      </c>
    </row>
    <row r="136" ht="15.75" customHeight="1">
      <c r="B136" t="s">
        <v>1087</v>
      </c>
      <c r="C136" s="1">
        <f>F134</f>
        <v>4132.472</v>
      </c>
      <c r="D136" t="s">
        <v>136</v>
      </c>
      <c r="E136" s="1">
        <f>G134</f>
        <v>471.349</v>
      </c>
      <c r="F136" t="s">
        <v>53</v>
      </c>
      <c r="G136" s="1">
        <f>C136-E136</f>
        <v>3661.1229999999996</v>
      </c>
    </row>
    <row r="137" ht="15.75" customHeight="1"/>
    <row r="138" ht="15" customHeight="1">
      <c r="B138" t="s">
        <v>1088</v>
      </c>
      <c r="C138">
        <f>F100</f>
        <v>160.06</v>
      </c>
      <c r="D138" t="s">
        <v>1089</v>
      </c>
      <c r="E138" s="1">
        <f>'STABILITY CHECK FOR PIER'!E17*10</f>
        <v>200</v>
      </c>
      <c r="F138" t="s">
        <v>1090</v>
      </c>
    </row>
    <row r="139" ht="15" customHeight="1">
      <c r="B139" t="s">
        <v>1091</v>
      </c>
      <c r="C139">
        <f>F101</f>
        <v>89.4</v>
      </c>
      <c r="D139" t="s">
        <v>1092</v>
      </c>
    </row>
    <row r="140" ht="15.75" customHeight="1">
      <c r="A140" t="s">
        <v>1093</v>
      </c>
    </row>
    <row r="141" ht="15" customHeight="1">
      <c r="B141" t="s">
        <v>1094</v>
      </c>
    </row>
    <row r="142" ht="15" customHeight="1">
      <c r="B142" t="s">
        <v>1095</v>
      </c>
      <c r="C142" s="1">
        <f>D134</f>
        <v>194.40030034325</v>
      </c>
      <c r="D142" t="s">
        <v>1096</v>
      </c>
    </row>
    <row r="143" ht="15" customHeight="1">
      <c r="B143" t="s">
        <v>1097</v>
      </c>
      <c r="C143">
        <v>0.6</v>
      </c>
      <c r="D143" t="s">
        <v>199</v>
      </c>
      <c r="E143" s="1">
        <f>C134</f>
        <v>1004.0409999999999</v>
      </c>
      <c r="F143" t="s">
        <v>146</v>
      </c>
      <c r="G143">
        <f>ROUNDUP(C143*E143,2)</f>
        <v>602.43</v>
      </c>
      <c r="H143" t="s">
        <v>204</v>
      </c>
    </row>
    <row r="144" ht="15" customHeight="1">
      <c r="B144" t="s">
        <v>1098</v>
      </c>
      <c r="C144">
        <f>G143</f>
        <v>602.43</v>
      </c>
      <c r="D144" t="s">
        <v>1099</v>
      </c>
      <c r="E144" s="1">
        <f>C142</f>
        <v>194.40030034325</v>
      </c>
      <c r="F144" t="s">
        <v>146</v>
      </c>
      <c r="G144">
        <f>ROUND(C144/E144,2)</f>
        <v>3.1</v>
      </c>
    </row>
    <row r="145" ht="15.75" customHeight="1">
      <c r="A145" t="s">
        <v>1100</v>
      </c>
      <c r="G145" t="s">
        <v>1014</v>
      </c>
    </row>
    <row r="146" ht="15" customHeight="1">
      <c r="B146" t="s">
        <v>1101</v>
      </c>
    </row>
    <row r="147" ht="15.75" customHeight="1"/>
    <row r="148" ht="15.75" customHeight="1"/>
    <row r="149" ht="15.75" customHeight="1"/>
    <row r="150" ht="15.75" customHeight="1"/>
    <row r="151"/>
    <row r="152"/>
    <row r="153"/>
    <row r="154"/>
    <row r="155"/>
    <row r="156"/>
    <row r="157"/>
    <row r="158"/>
    <row r="159"/>
    <row r="160"/>
    <row r="161"/>
  </sheetData>
  <mergeCells count="84">
    <mergeCell ref="G134:G135"/>
    <mergeCell ref="F132:F133"/>
    <mergeCell ref="A134:A135"/>
    <mergeCell ref="C134:C135"/>
    <mergeCell ref="D134:D135"/>
    <mergeCell ref="E134:E135"/>
    <mergeCell ref="F134:F135"/>
    <mergeCell ref="A130:A131"/>
    <mergeCell ref="C130:C131"/>
    <mergeCell ref="D130:D131"/>
    <mergeCell ref="E130:E131"/>
    <mergeCell ref="F130:F131"/>
    <mergeCell ref="G130:G131"/>
    <mergeCell ref="A128:A129"/>
    <mergeCell ref="C128:C129"/>
    <mergeCell ref="D128:D129"/>
    <mergeCell ref="E128:E129"/>
    <mergeCell ref="F128:F129"/>
    <mergeCell ref="G128:G129"/>
    <mergeCell ref="A126:A127"/>
    <mergeCell ref="C126:C127"/>
    <mergeCell ref="D126:D127"/>
    <mergeCell ref="E126:E127"/>
    <mergeCell ref="F126:F127"/>
    <mergeCell ref="G126:G127"/>
    <mergeCell ref="A124:A125"/>
    <mergeCell ref="C124:C125"/>
    <mergeCell ref="D124:D125"/>
    <mergeCell ref="E124:E125"/>
    <mergeCell ref="F124:F125"/>
    <mergeCell ref="G124:G125"/>
    <mergeCell ref="A122:A123"/>
    <mergeCell ref="C122:C123"/>
    <mergeCell ref="D122:D123"/>
    <mergeCell ref="E122:E123"/>
    <mergeCell ref="F122:F123"/>
    <mergeCell ref="G122:G123"/>
    <mergeCell ref="A120:A121"/>
    <mergeCell ref="C120:C121"/>
    <mergeCell ref="D120:D121"/>
    <mergeCell ref="E120:E121"/>
    <mergeCell ref="F120:F121"/>
    <mergeCell ref="G120:G121"/>
    <mergeCell ref="A118:A119"/>
    <mergeCell ref="C118:C119"/>
    <mergeCell ref="D118:D119"/>
    <mergeCell ref="E118:E119"/>
    <mergeCell ref="F118:F119"/>
    <mergeCell ref="G118:G119"/>
    <mergeCell ref="A116:A117"/>
    <mergeCell ref="C116:C117"/>
    <mergeCell ref="D116:D117"/>
    <mergeCell ref="E116:E117"/>
    <mergeCell ref="F116:F117"/>
    <mergeCell ref="G116:G117"/>
    <mergeCell ref="A114:A115"/>
    <mergeCell ref="C114:C115"/>
    <mergeCell ref="D114:D115"/>
    <mergeCell ref="E114:E115"/>
    <mergeCell ref="F114:F115"/>
    <mergeCell ref="G114:G115"/>
    <mergeCell ref="G110:G111"/>
    <mergeCell ref="A112:A113"/>
    <mergeCell ref="C112:C113"/>
    <mergeCell ref="D112:D113"/>
    <mergeCell ref="E112:E113"/>
    <mergeCell ref="F112:F113"/>
    <mergeCell ref="G112:G113"/>
    <mergeCell ref="B103:B105"/>
    <mergeCell ref="C103:D103"/>
    <mergeCell ref="E103:G103"/>
    <mergeCell ref="C104:C105"/>
    <mergeCell ref="D104:D105"/>
    <mergeCell ref="A110:A111"/>
    <mergeCell ref="C110:C111"/>
    <mergeCell ref="D110:D111"/>
    <mergeCell ref="E110:E111"/>
    <mergeCell ref="F110:F111"/>
    <mergeCell ref="A1:H1"/>
    <mergeCell ref="C9:D9"/>
    <mergeCell ref="B15:H15"/>
    <mergeCell ref="B16:H16"/>
    <mergeCell ref="B18:H18"/>
    <mergeCell ref="A102:G102"/>
  </mergeCells>
  <pageMargins left="0.75" right="0.75" top="1" bottom="1" header="0.5" footer="0.5"/>
  <ignoredErrors>
    <ignoredError numberStoredAsText="1" sqref="A1:H161"/>
  </ignoredErrors>
</worksheet>
</file>

<file path=xl/worksheets/sheet22.xml><?xml version="1.0" encoding="utf-8"?>
<worksheet xmlns="http://schemas.openxmlformats.org/spreadsheetml/2006/main" xmlns:r="http://schemas.openxmlformats.org/officeDocument/2006/relationships">
  <dimension ref="A1:N69"/>
  <sheetViews>
    <sheetView workbookViewId="0" rightToLeft="0"/>
  </sheetViews>
  <cols>
    <col min="1" max="1" customWidth="1" width="6.7109375"/>
    <col min="2" max="2" customWidth="1" width="34.42578125"/>
    <col min="3" max="3" customWidth="1" width="15.42578125"/>
    <col min="4" max="4" customWidth="1" width="9.85546875"/>
    <col min="5" max="5" customWidth="1" width="9.7109375"/>
    <col min="6" max="6" customWidth="1" width="8.28515625"/>
    <col min="7" max="7" customWidth="1" width="9.85546875"/>
    <col min="8" max="8" customWidth="1" width="8"/>
    <col min="9" max="9" customWidth="1" width="4"/>
    <col min="10" max="10" customWidth="1" width="6.5703125"/>
    <col min="11" max="11" customWidth="1" width="2.5703125"/>
    <col min="12" max="12" customWidth="1" width="7.5703125"/>
    <col min="13" max="13" customWidth="1" width="2.85546875"/>
    <col min="14" max="14" customWidth="1" width="2.85546875"/>
  </cols>
  <sheetData>
    <row r="1">
      <c r="A1" t="s">
        <v>1102</v>
      </c>
    </row>
    <row r="2">
      <c r="A2" t="s">
        <f>'TYPE1-STABILITY CHECK ABUTMENT'!A2</f>
        <v>48</v>
      </c>
    </row>
    <row r="3">
      <c r="A3" t="s">
        <v>1103</v>
      </c>
    </row>
    <row r="4">
      <c r="A4" t="s">
        <v>510</v>
      </c>
    </row>
    <row r="5" ht="15.75" customHeight="1">
      <c r="B5" t="s">
        <v>511</v>
      </c>
      <c r="C5" t="s">
        <v>512</v>
      </c>
      <c r="D5" s="1">
        <f>15+'TYPE1-AbutMENT Drawing'!K7/1000+'TYPE1-AbutMENT Drawing'!K8/1000</f>
        <v>17</v>
      </c>
      <c r="E5" t="s">
        <v>85</v>
      </c>
    </row>
    <row r="6" ht="15.75" customHeight="1">
      <c r="B6" t="s">
        <v>513</v>
      </c>
      <c r="C6" t="s">
        <v>514</v>
      </c>
      <c r="D6" s="1">
        <f>'TYPE1- Abut Footing STRESS'!D18</f>
        <v>8.05</v>
      </c>
      <c r="E6" t="s">
        <v>85</v>
      </c>
    </row>
    <row r="7">
      <c r="B7" t="s">
        <v>1104</v>
      </c>
      <c r="D7" s="1">
        <f>D6-('TYPE1-AbutMENT Drawing'!K7+'TYPE1-AbutMENT Drawing'!K8)/1000</f>
        <v>6.050000000000001</v>
      </c>
      <c r="E7" t="s">
        <v>85</v>
      </c>
    </row>
    <row r="8">
      <c r="B8" t="s">
        <v>516</v>
      </c>
      <c r="C8" t="s">
        <v>60</v>
      </c>
      <c r="D8" s="1">
        <f>'TYPE1-STABILITY CHECK ABUTMENT'!C134</f>
        <v>1004.0409999999999</v>
      </c>
      <c r="E8" t="s">
        <v>204</v>
      </c>
    </row>
    <row r="9" ht="15.75" customHeight="1">
      <c r="B9" t="s">
        <v>517</v>
      </c>
      <c r="C9" t="s">
        <v>518</v>
      </c>
      <c r="D9" s="1">
        <f>'TYPE1-STABILITY CHECK ABUTMENT'!G136</f>
        <v>3661.1229999999996</v>
      </c>
      <c r="E9" t="s">
        <v>323</v>
      </c>
    </row>
    <row r="10" ht="15.75" customHeight="1">
      <c r="B10" t="s">
        <v>519</v>
      </c>
      <c r="C10" t="s">
        <v>520</v>
      </c>
      <c r="D10" s="1">
        <v>0</v>
      </c>
      <c r="E10" t="s">
        <v>323</v>
      </c>
    </row>
    <row r="11" hidden="1" ht="15.75" customHeight="1">
      <c r="B11" t="s">
        <v>521</v>
      </c>
      <c r="C11" t="s">
        <v>522</v>
      </c>
      <c r="D11" s="1">
        <f>D9/D8</f>
        <v>3.6463879463089652</v>
      </c>
      <c r="E11" t="s">
        <v>85</v>
      </c>
    </row>
    <row r="12" hidden="1" ht="15.75" customHeight="1">
      <c r="B12" t="s">
        <v>523</v>
      </c>
      <c r="C12" t="s">
        <v>524</v>
      </c>
      <c r="D12" s="1">
        <f>D10/D8</f>
        <v>0</v>
      </c>
      <c r="E12" t="s">
        <v>85</v>
      </c>
    </row>
    <row r="13" hidden="1" ht="15.75" customHeight="1">
      <c r="B13" s="1" t="s">
        <v>525</v>
      </c>
      <c r="D13" s="1">
        <f>D11/D5</f>
        <v>0.21449340860640972</v>
      </c>
      <c r="E13" s="1" t="s">
        <v>526</v>
      </c>
    </row>
    <row r="14" hidden="1" ht="15.75" customHeight="1">
      <c r="B14" s="1" t="s">
        <v>527</v>
      </c>
      <c r="D14" s="1">
        <f>D12/D6</f>
        <v>0</v>
      </c>
    </row>
    <row r="15" hidden="1" ht="12.75" customHeight="1">
      <c r="B15" s="1" t="s">
        <v>528</v>
      </c>
      <c r="D15" s="1">
        <v>1</v>
      </c>
    </row>
    <row r="16" hidden="1">
      <c r="B16" s="1" t="s">
        <v>529</v>
      </c>
      <c r="D16" s="1">
        <v>0</v>
      </c>
    </row>
    <row r="17" ht="15.75" customHeight="1">
      <c r="B17" t="s">
        <v>530</v>
      </c>
      <c r="E17" s="1">
        <f>D6*D16</f>
        <v>0</v>
      </c>
      <c r="F17" s="1" t="s">
        <v>389</v>
      </c>
      <c r="G17" s="1">
        <f>E17/D6*100</f>
        <v>0</v>
      </c>
      <c r="H17" t="s">
        <v>271</v>
      </c>
    </row>
    <row r="18" ht="14.25" customHeight="1">
      <c r="B18" t="s">
        <v>531</v>
      </c>
      <c r="E18" s="1">
        <f>'TYPE1-STABILITY CHECK ABUTMENT'!F100</f>
        <v>160.06</v>
      </c>
      <c r="F18" s="1" t="s">
        <v>280</v>
      </c>
    </row>
    <row r="19" ht="14.25" customHeight="1">
      <c r="B19" t="s">
        <v>532</v>
      </c>
      <c r="E19" s="1">
        <f>E18*D15</f>
        <v>160.06</v>
      </c>
      <c r="F19" s="1" t="s">
        <v>280</v>
      </c>
    </row>
    <row r="20" ht="14.25" customHeight="1">
      <c r="B20" t="s">
        <v>533</v>
      </c>
      <c r="E20" s="1">
        <f>E19</f>
        <v>160.06</v>
      </c>
      <c r="F20" s="1" t="s">
        <v>280</v>
      </c>
    </row>
    <row r="21" ht="15" customHeight="1">
      <c r="B21" t="s">
        <v>534</v>
      </c>
      <c r="E21" s="1">
        <f>'TYPE1- Abut Footing STRESS'!F8</f>
        <v>1</v>
      </c>
      <c r="F21" s="2" t="s">
        <v>85</v>
      </c>
    </row>
    <row r="22" ht="14.25" customHeight="1">
      <c r="B22" t="s">
        <v>535</v>
      </c>
      <c r="E22" s="1">
        <f>(D6-E17-E21)*E20/(D6-E17)</f>
        <v>140.17677018633543</v>
      </c>
      <c r="F22" s="1" t="s">
        <v>280</v>
      </c>
    </row>
    <row r="23" ht="14.25" customHeight="1">
      <c r="B23" t="s">
        <v>536</v>
      </c>
      <c r="E23" s="1">
        <f>(E20+E22)/2</f>
        <v>150.11838509316772</v>
      </c>
      <c r="F23" s="1" t="s">
        <v>280</v>
      </c>
    </row>
    <row r="24" ht="14.25" customHeight="1">
      <c r="B24" t="s">
        <v>537</v>
      </c>
      <c r="E24" s="1">
        <f>E21*1</f>
        <v>1</v>
      </c>
      <c r="F24" s="1" t="s">
        <v>389</v>
      </c>
    </row>
    <row r="25" ht="25.5" customHeight="1">
      <c r="B25" t="s">
        <v>538</v>
      </c>
      <c r="E25" s="1">
        <f>E21/3*(E22+2*E20)/(E20+E22)</f>
        <v>0.5110375275938189</v>
      </c>
      <c r="F25" s="2" t="s">
        <v>85</v>
      </c>
    </row>
    <row r="26">
      <c r="B26" t="s">
        <v>539</v>
      </c>
      <c r="E26" s="1">
        <f>E23*E24*E25</f>
        <v>76.71612836438923</v>
      </c>
      <c r="F26" s="1" t="s">
        <v>323</v>
      </c>
    </row>
    <row r="27">
      <c r="B27" t="s">
        <v>540</v>
      </c>
      <c r="E27" t="s">
        <v>427</v>
      </c>
    </row>
    <row r="28">
      <c r="B28" t="s">
        <v>541</v>
      </c>
      <c r="E28">
        <v>10</v>
      </c>
      <c r="F28" t="s">
        <v>232</v>
      </c>
    </row>
    <row r="29">
      <c r="B29" t="s">
        <v>85</v>
      </c>
      <c r="E29" s="1">
        <f>280/(3*E28)</f>
        <v>9.333333333333334</v>
      </c>
    </row>
    <row r="30">
      <c r="B30" t="s">
        <v>542</v>
      </c>
      <c r="E30">
        <v>200</v>
      </c>
    </row>
    <row r="31">
      <c r="B31" t="s">
        <v>543</v>
      </c>
      <c r="E31" s="2">
        <f>(E29*E28)/(E28*E29+E30)</f>
        <v>0.3181818181818182</v>
      </c>
    </row>
    <row r="32">
      <c r="B32" t="s">
        <v>544</v>
      </c>
      <c r="E32" s="2">
        <f>1-(E31/3)</f>
        <v>0.8939393939393939</v>
      </c>
    </row>
    <row r="33">
      <c r="B33" t="s">
        <v>173</v>
      </c>
      <c r="E33" s="2">
        <f>0.5*E28*E32*E31</f>
        <v>1.4221763085399448</v>
      </c>
    </row>
    <row r="34">
      <c r="B34" t="s">
        <v>545</v>
      </c>
      <c r="E34" s="4">
        <f>SQRT((E26*1000*1000)/(E33*1000))</f>
        <v>232.25582703938719</v>
      </c>
      <c r="F34" t="s">
        <v>230</v>
      </c>
    </row>
    <row r="35">
      <c r="B35" t="s">
        <v>546</v>
      </c>
      <c r="E35" s="4">
        <v>1000</v>
      </c>
      <c r="F35" t="s">
        <v>230</v>
      </c>
    </row>
    <row r="36">
      <c r="B36" t="s">
        <v>547</v>
      </c>
      <c r="E36" s="4">
        <v>50</v>
      </c>
      <c r="F36" t="s">
        <v>230</v>
      </c>
    </row>
    <row r="37">
      <c r="B37" t="s">
        <v>548</v>
      </c>
      <c r="E37" s="4">
        <v>16</v>
      </c>
      <c r="F37" t="s">
        <v>230</v>
      </c>
    </row>
    <row r="38">
      <c r="B38" t="s">
        <v>549</v>
      </c>
      <c r="E38" s="4">
        <f>E35-E36-E37/2</f>
        <v>942</v>
      </c>
      <c r="F38" t="s">
        <v>230</v>
      </c>
    </row>
    <row r="39">
      <c r="B39" t="s">
        <v>550</v>
      </c>
      <c r="E39">
        <f>IF(E34&gt;E38,E34,E38)</f>
        <v>942</v>
      </c>
      <c r="F39" t="s">
        <v>230</v>
      </c>
    </row>
    <row r="40" ht="14.25" customHeight="1">
      <c r="B40" t="s">
        <v>551</v>
      </c>
      <c r="E40" s="4">
        <f>(E26*1000*1000)/(E30*E32*E39)</f>
        <v>455.50977653475206</v>
      </c>
      <c r="F40" t="s">
        <v>457</v>
      </c>
    </row>
    <row r="41" ht="14.25" customHeight="1">
      <c r="B41" t="s">
        <v>552</v>
      </c>
      <c r="E41" s="4">
        <f>3.14*E37*E37/4</f>
        <v>200.96</v>
      </c>
      <c r="F41" t="s">
        <v>457</v>
      </c>
    </row>
    <row r="42">
      <c r="B42" t="s">
        <v>553</v>
      </c>
      <c r="E42" s="4">
        <f>(E41*1000)/E40</f>
        <v>441.17604133282134</v>
      </c>
      <c r="F42" t="s">
        <v>230</v>
      </c>
    </row>
    <row r="43">
      <c r="B43" t="s">
        <v>554</v>
      </c>
      <c r="C43" s="4">
        <f>E37</f>
        <v>16</v>
      </c>
      <c r="D43" t="s">
        <v>230</v>
      </c>
      <c r="E43" s="4">
        <v>150</v>
      </c>
      <c r="F43" t="s">
        <v>230</v>
      </c>
      <c r="G43" t="s">
        <v>1105</v>
      </c>
    </row>
    <row r="44" ht="14.25" customHeight="1">
      <c r="B44" t="s">
        <v>556</v>
      </c>
      <c r="E44" s="4">
        <f>(0.2*1000*E39)/100</f>
        <v>1884</v>
      </c>
      <c r="F44" t="s">
        <v>457</v>
      </c>
    </row>
    <row r="45" ht="21" customHeight="1">
      <c r="B45" t="s">
        <v>557</v>
      </c>
      <c r="E45">
        <v>20</v>
      </c>
      <c r="F45" t="s">
        <v>230</v>
      </c>
    </row>
    <row r="46" ht="14.25" customHeight="1">
      <c r="B46" t="s">
        <v>558</v>
      </c>
      <c r="E46">
        <f>3.14*E45*E45/4</f>
        <v>314</v>
      </c>
      <c r="F46" t="s">
        <v>457</v>
      </c>
    </row>
    <row r="47">
      <c r="B47" t="s">
        <v>559</v>
      </c>
      <c r="E47" s="4">
        <f>(E46*1000)/E44</f>
        <v>166.66666666666666</v>
      </c>
      <c r="F47" t="s">
        <v>230</v>
      </c>
    </row>
    <row r="48">
      <c r="B48" t="s">
        <v>554</v>
      </c>
      <c r="C48">
        <v>16</v>
      </c>
      <c r="D48" t="s">
        <v>230</v>
      </c>
      <c r="E48">
        <f>ROUNDDOWN(E47,-1)</f>
        <v>160</v>
      </c>
      <c r="F48" t="s">
        <v>230</v>
      </c>
      <c r="G48" t="s">
        <v>1105</v>
      </c>
    </row>
    <row r="49"/>
    <row r="50" ht="25.5" customHeight="1">
      <c r="B50" t="s">
        <v>560</v>
      </c>
      <c r="C50">
        <v>12</v>
      </c>
      <c r="D50" t="s">
        <v>230</v>
      </c>
      <c r="E50">
        <v>150</v>
      </c>
      <c r="F50" t="s">
        <v>230</v>
      </c>
    </row>
    <row r="51" ht="25.5" customHeight="1">
      <c r="B51" t="s">
        <v>561</v>
      </c>
      <c r="C51">
        <v>12</v>
      </c>
      <c r="D51" t="s">
        <v>230</v>
      </c>
      <c r="E51">
        <v>150</v>
      </c>
      <c r="F51" t="s">
        <v>230</v>
      </c>
    </row>
    <row r="52" ht="14.25" customHeight="1">
      <c r="A52" t="s">
        <v>562</v>
      </c>
      <c r="C52" t="s">
        <v>563</v>
      </c>
    </row>
    <row r="53">
      <c r="B53" t="s">
        <v>564</v>
      </c>
      <c r="E53">
        <f>E39</f>
        <v>942</v>
      </c>
      <c r="F53" t="s">
        <v>230</v>
      </c>
    </row>
    <row r="54">
      <c r="B54" t="s">
        <v>565</v>
      </c>
      <c r="E54" s="1">
        <f>E21-E53/1000</f>
        <v>0.05800000000000005</v>
      </c>
      <c r="F54" t="s">
        <v>85</v>
      </c>
    </row>
    <row r="55" ht="14.25" customHeight="1">
      <c r="B55" t="s">
        <v>533</v>
      </c>
      <c r="E55" s="1">
        <f>E20</f>
        <v>160.06</v>
      </c>
      <c r="F55" s="1" t="s">
        <v>280</v>
      </c>
    </row>
    <row r="56" ht="14.25" customHeight="1">
      <c r="B56" t="s">
        <v>566</v>
      </c>
      <c r="E56" s="1">
        <f>E55/('[7]STRESS DIAGRAM'!D18-'[7]STRESS DIAGRAM'!B21)*(-'TYPE1-ABUTMENT FOOTING DESIGN'!E54+'[7]STRESS DIAGRAM'!D18-'[7]STRESS DIAGRAM'!B21)</f>
        <v>157.48125555555555</v>
      </c>
      <c r="F56" s="1" t="s">
        <v>280</v>
      </c>
    </row>
    <row r="57" ht="14.25" customHeight="1">
      <c r="B57" t="s">
        <v>536</v>
      </c>
      <c r="E57" s="1">
        <f>(E55+E56)/2</f>
        <v>158.77062777777778</v>
      </c>
      <c r="F57" s="1" t="s">
        <v>280</v>
      </c>
    </row>
    <row r="58">
      <c r="B58" t="s">
        <v>567</v>
      </c>
      <c r="E58" s="1">
        <f>E57*E54</f>
        <v>9.20869641111112</v>
      </c>
      <c r="F58" t="s">
        <v>204</v>
      </c>
    </row>
    <row r="59">
      <c r="B59" t="s">
        <v>568</v>
      </c>
      <c r="C59" t="s">
        <v>569</v>
      </c>
    </row>
    <row r="60" ht="14.25" customHeight="1">
      <c r="B60" t="s">
        <v>570</v>
      </c>
      <c r="E60" s="1">
        <f>E58*1000/E53/1000</f>
        <v>0.009775686211370616</v>
      </c>
      <c r="F60" s="1" t="s">
        <v>232</v>
      </c>
    </row>
    <row r="61">
      <c r="B61" t="s">
        <v>571</v>
      </c>
      <c r="C61" t="s">
        <v>572</v>
      </c>
      <c r="E61" s="1">
        <f>100*E41*(1000/E43)/(1000*E39)</f>
        <v>0.14222222222222222</v>
      </c>
    </row>
    <row r="62" ht="14.25" customHeight="1">
      <c r="B62" t="s">
        <v>573</v>
      </c>
      <c r="E62" s="1">
        <v>0.23</v>
      </c>
      <c r="F62" s="1" t="s">
        <v>232</v>
      </c>
    </row>
    <row r="63">
      <c r="B63" t="s">
        <v>574</v>
      </c>
    </row>
    <row r="64" ht="14.25" customHeight="1">
      <c r="B64" t="s">
        <v>575</v>
      </c>
      <c r="E64" s="1">
        <f>E62</f>
        <v>0.23</v>
      </c>
      <c r="F64" s="1" t="s">
        <v>232</v>
      </c>
    </row>
    <row r="65" ht="26.25" customHeight="1">
      <c r="D65" t="s">
        <v>576</v>
      </c>
    </row>
    <row r="66" ht="21" customHeight="1">
      <c r="B66" t="s">
        <v>577</v>
      </c>
      <c r="E66">
        <v>16</v>
      </c>
      <c r="F66" t="s">
        <v>230</v>
      </c>
    </row>
    <row r="67" ht="14.25" customHeight="1">
      <c r="B67" t="s">
        <v>558</v>
      </c>
      <c r="E67" s="4">
        <f>3.14*E66*E66/4</f>
        <v>200.96</v>
      </c>
      <c r="F67" t="s">
        <v>457</v>
      </c>
    </row>
    <row r="68">
      <c r="B68" t="s">
        <v>578</v>
      </c>
      <c r="E68" s="4">
        <f>2*E67*E30*E39/(E58*1000)</f>
        <v>8222.849860555174</v>
      </c>
      <c r="F68" t="s">
        <v>230</v>
      </c>
    </row>
    <row r="69">
      <c r="B69" t="s">
        <v>554</v>
      </c>
      <c r="C69">
        <f>E66</f>
        <v>16</v>
      </c>
      <c r="D69" t="s">
        <v>230</v>
      </c>
      <c r="E69">
        <v>150</v>
      </c>
      <c r="F69" t="s">
        <v>230</v>
      </c>
      <c r="G69" t="s">
        <v>1105</v>
      </c>
    </row>
  </sheetData>
  <mergeCells count="3">
    <mergeCell ref="A1:N1"/>
    <mergeCell ref="E13:G16"/>
    <mergeCell ref="D65:G65"/>
  </mergeCells>
  <pageMargins left="0.75" right="0.75" top="1" bottom="1" header="0.5" footer="0.5"/>
  <ignoredErrors>
    <ignoredError numberStoredAsText="1" sqref="A1:N69"/>
  </ignoredErrors>
</worksheet>
</file>

<file path=xl/worksheets/sheet23.xml><?xml version="1.0" encoding="utf-8"?>
<worksheet xmlns="http://schemas.openxmlformats.org/spreadsheetml/2006/main" xmlns:r="http://schemas.openxmlformats.org/officeDocument/2006/relationships">
  <dimension ref="A1:I31"/>
  <sheetViews>
    <sheetView workbookViewId="0" rightToLeft="0"/>
  </sheetViews>
  <cols>
    <col min="1" max="1" customWidth="1" width="11.85546875"/>
    <col min="2" max="2" customWidth="1" width="8.42578125"/>
  </cols>
  <sheetData>
    <row r="1">
      <c r="E1" s="1">
        <f>D18-1</f>
        <v>7.050000000000001</v>
      </c>
      <c r="F1" t="s">
        <v>85</v>
      </c>
    </row>
    <row r="8">
      <c r="B8" s="1">
        <f>'TYPE1-AbutMENT Drawing'!K7/1000</f>
        <v>1</v>
      </c>
      <c r="C8" t="s">
        <v>85</v>
      </c>
      <c r="F8" s="1">
        <f>'TYPE1-AbutMENT Drawing'!K8/1000</f>
        <v>1</v>
      </c>
      <c r="G8" t="s">
        <v>85</v>
      </c>
    </row>
    <row r="18">
      <c r="D18" s="1">
        <f>'TYPE1-AbutMENT Drawing'!M33/1000</f>
        <v>8.05</v>
      </c>
      <c r="E18" t="s">
        <v>85</v>
      </c>
    </row>
    <row r="21">
      <c r="B21" s="1">
        <v>258.56357441323684</v>
      </c>
      <c r="C21" t="s">
        <v>85</v>
      </c>
    </row>
    <row r="22"/>
    <row r="25">
      <c r="E25" s="1">
        <f>'TYPE1-ABUTMENT FOOTING DESIGN'!E56</f>
        <v>157.48125555555555</v>
      </c>
    </row>
    <row r="26" ht="14.25" customHeight="1">
      <c r="E26" s="1" t="s">
        <v>280</v>
      </c>
      <c r="G26" s="1">
        <f>'TYPE1-ABUTMENT FOOTING DESIGN'!E55</f>
        <v>160.06</v>
      </c>
      <c r="H26" s="1" t="s">
        <v>280</v>
      </c>
    </row>
    <row r="29">
      <c r="D29" t="s">
        <v>579</v>
      </c>
    </row>
    <row r="31">
      <c r="A31" t="s">
        <v>1102</v>
      </c>
    </row>
  </sheetData>
  <mergeCells count="1">
    <mergeCell ref="A31:F31"/>
  </mergeCells>
  <pageMargins left="0.75" right="0.75" top="1" bottom="1" header="0.5" footer="0.5"/>
  <ignoredErrors>
    <ignoredError numberStoredAsText="1" sqref="A1:I31"/>
  </ignoredErrors>
</worksheet>
</file>

<file path=xl/worksheets/sheet24.xml><?xml version="1.0" encoding="utf-8"?>
<worksheet xmlns="http://schemas.openxmlformats.org/spreadsheetml/2006/main" xmlns:r="http://schemas.openxmlformats.org/officeDocument/2006/relationships">
  <dimension ref="A1:O26"/>
  <sheetViews>
    <sheetView workbookViewId="0" rightToLeft="0"/>
  </sheetViews>
  <cols>
    <col min="1" max="1" customWidth="1" width="6.7109375"/>
    <col min="2" max="2" customWidth="1" width="61"/>
    <col min="3" max="3" customWidth="1" width="3"/>
    <col min="4" max="4" customWidth="1" width="9.85546875"/>
    <col min="5" max="5" customWidth="1" width="12.42578125"/>
    <col min="6" max="6" customWidth="1" width="8.28515625"/>
    <col min="7" max="7" customWidth="1" width="7"/>
    <col min="8" max="8" customWidth="1" width="9.42578125"/>
    <col min="9" max="9" customWidth="1" width="5"/>
    <col min="10" max="10" customWidth="1" width="6.5703125"/>
    <col min="11" max="11" customWidth="1" width="2.5703125"/>
    <col min="12" max="12" customWidth="1" width="7.5703125"/>
    <col min="13" max="13" customWidth="1" width="2.85546875"/>
    <col min="14" max="14" customWidth="1" width="7.5703125"/>
    <col min="15" max="15" customWidth="1" width="2.85546875"/>
  </cols>
  <sheetData>
    <row r="1" ht="30" customHeight="1">
      <c r="A1" t="s">
        <v>1106</v>
      </c>
    </row>
    <row r="2" ht="30" customHeight="1">
      <c r="A2" t="s">
        <f>'TYPE1-STABILITY CHECK ABUTMENT'!A2</f>
        <v>48</v>
      </c>
    </row>
    <row r="3">
      <c r="A3" t="s">
        <v>710</v>
      </c>
    </row>
    <row r="4">
      <c r="A4" t="s">
        <v>711</v>
      </c>
    </row>
    <row r="5" ht="14.25" customHeight="1">
      <c r="B5" t="s">
        <v>1107</v>
      </c>
      <c r="E5" s="4">
        <v>250</v>
      </c>
      <c r="F5" t="s">
        <v>457</v>
      </c>
    </row>
    <row r="6" ht="14.25" customHeight="1">
      <c r="B6" t="s">
        <v>552</v>
      </c>
      <c r="C6">
        <v>12</v>
      </c>
      <c r="D6" t="s">
        <v>1108</v>
      </c>
      <c r="E6" s="4">
        <f>3.14*C6*C6/4</f>
        <v>113.03999999999999</v>
      </c>
      <c r="F6" t="s">
        <v>457</v>
      </c>
    </row>
    <row r="7">
      <c r="B7" t="s">
        <v>553</v>
      </c>
      <c r="E7" s="4">
        <f>(E6*1000)/E5</f>
        <v>452.15999999999997</v>
      </c>
      <c r="F7" t="s">
        <v>230</v>
      </c>
    </row>
    <row r="8">
      <c r="B8" t="s">
        <v>554</v>
      </c>
      <c r="C8" s="4">
        <f>C6</f>
        <v>12</v>
      </c>
      <c r="D8" t="s">
        <v>230</v>
      </c>
      <c r="E8" s="4">
        <v>125</v>
      </c>
      <c r="F8" t="s">
        <v>230</v>
      </c>
    </row>
    <row r="9">
      <c r="B9" t="s">
        <v>554</v>
      </c>
      <c r="C9" s="4">
        <f>C8</f>
        <v>12</v>
      </c>
      <c r="D9" t="s">
        <v>230</v>
      </c>
      <c r="E9" s="4">
        <v>125</v>
      </c>
      <c r="F9" t="s">
        <v>230</v>
      </c>
    </row>
    <row r="10">
      <c r="B10" t="s">
        <v>1109</v>
      </c>
      <c r="D10" s="4">
        <v>12</v>
      </c>
      <c r="E10" s="4" t="s">
        <v>463</v>
      </c>
      <c r="F10" s="4">
        <f>E8</f>
        <v>125</v>
      </c>
      <c r="G10" s="4" t="s">
        <v>465</v>
      </c>
      <c r="H10" t="s">
        <v>1110</v>
      </c>
    </row>
    <row r="11">
      <c r="B11" t="s">
        <v>1111</v>
      </c>
      <c r="D11" s="4">
        <v>12</v>
      </c>
      <c r="E11" s="4" t="s">
        <v>463</v>
      </c>
      <c r="F11" s="4">
        <f>F10</f>
        <v>125</v>
      </c>
      <c r="G11" s="4" t="s">
        <v>465</v>
      </c>
      <c r="H11" t="s">
        <v>1112</v>
      </c>
    </row>
    <row r="12"/>
    <row r="15"/>
    <row r="16" ht="14.25" customHeight="1"/>
    <row r="17"/>
    <row r="18"/>
    <row r="19"/>
    <row r="20"/>
    <row r="21"/>
    <row r="22"/>
    <row r="23"/>
    <row r="24" ht="14.25" customHeight="1"/>
    <row r="25"/>
    <row r="26"/>
  </sheetData>
  <mergeCells count="2">
    <mergeCell ref="A1:D1"/>
    <mergeCell ref="A2:N2"/>
  </mergeCells>
  <pageMargins left="0.75" right="0.75" top="1" bottom="1" header="0.5" footer="0.5"/>
  <ignoredErrors>
    <ignoredError numberStoredAsText="1" sqref="A1:O26"/>
  </ignoredErrors>
</worksheet>
</file>

<file path=xl/worksheets/sheet25.xml><?xml version="1.0" encoding="utf-8"?>
<worksheet xmlns="http://schemas.openxmlformats.org/spreadsheetml/2006/main" xmlns:r="http://schemas.openxmlformats.org/officeDocument/2006/relationships">
  <dimension ref="A1:N110"/>
  <sheetViews>
    <sheetView workbookViewId="0" rightToLeft="0"/>
  </sheetViews>
  <cols>
    <col min="2" max="2" customWidth="1" width="67.28515625"/>
    <col min="3" max="3" customWidth="1" width="26.85546875"/>
    <col min="4" max="4" customWidth="1" width="7"/>
  </cols>
  <sheetData>
    <row r="1">
      <c r="B1" t="s">
        <v>1113</v>
      </c>
    </row>
    <row r="2">
      <c r="A2" t="s">
        <f>'TYPE1-STABILITY CHECK ABUTMENT'!A2</f>
        <v>48</v>
      </c>
    </row>
    <row r="3">
      <c r="A3" t="s">
        <v>1114</v>
      </c>
    </row>
    <row r="4">
      <c r="A4" t="s">
        <v>660</v>
      </c>
    </row>
    <row r="5">
      <c r="A5" t="s">
        <v>661</v>
      </c>
      <c r="C5">
        <v>0.975</v>
      </c>
      <c r="D5" t="s">
        <v>199</v>
      </c>
      <c r="E5">
        <v>15</v>
      </c>
      <c r="F5" t="s">
        <v>662</v>
      </c>
      <c r="G5">
        <v>2.4</v>
      </c>
      <c r="H5" t="s">
        <v>53</v>
      </c>
      <c r="I5" s="1">
        <f>C5*E5*G5</f>
        <v>35.1</v>
      </c>
      <c r="J5" t="s">
        <v>630</v>
      </c>
    </row>
    <row r="6">
      <c r="A6" t="s">
        <v>663</v>
      </c>
      <c r="C6">
        <v>0.075</v>
      </c>
      <c r="D6" t="s">
        <v>199</v>
      </c>
      <c r="E6">
        <v>12</v>
      </c>
      <c r="F6" t="s">
        <v>662</v>
      </c>
      <c r="G6">
        <v>2.4</v>
      </c>
      <c r="H6" t="s">
        <v>53</v>
      </c>
      <c r="I6" s="1">
        <f>C6*E6*G6</f>
        <v>2.1599999999999997</v>
      </c>
      <c r="J6" t="s">
        <v>630</v>
      </c>
    </row>
    <row r="7">
      <c r="G7" t="s">
        <v>171</v>
      </c>
      <c r="I7" s="1">
        <f>SUM(I5:I6)</f>
        <v>37.26</v>
      </c>
      <c r="J7" t="s">
        <v>630</v>
      </c>
    </row>
    <row r="8">
      <c r="A8" t="s">
        <v>1115</v>
      </c>
      <c r="E8" t="s">
        <v>53</v>
      </c>
    </row>
    <row r="9">
      <c r="E9" s="1">
        <f>I7</f>
        <v>37.26</v>
      </c>
      <c r="F9" t="s">
        <v>107</v>
      </c>
      <c r="G9">
        <v>2</v>
      </c>
      <c r="H9" t="s">
        <v>53</v>
      </c>
      <c r="I9" s="1">
        <f>E9/G9</f>
        <v>18.63</v>
      </c>
      <c r="J9" t="s">
        <v>630</v>
      </c>
    </row>
    <row r="10">
      <c r="A10" t="s">
        <v>1116</v>
      </c>
    </row>
    <row r="11">
      <c r="D11" t="s">
        <v>666</v>
      </c>
      <c r="E11" s="1">
        <v>82.5</v>
      </c>
      <c r="F11" t="s">
        <v>199</v>
      </c>
      <c r="G11">
        <v>1.1375</v>
      </c>
      <c r="H11" t="s">
        <v>53</v>
      </c>
      <c r="I11" s="1">
        <f>E11*G11</f>
        <v>93.84375</v>
      </c>
      <c r="J11" t="s">
        <v>630</v>
      </c>
    </row>
    <row r="12">
      <c r="A12" t="s">
        <v>667</v>
      </c>
    </row>
    <row r="13">
      <c r="A13" t="s">
        <v>668</v>
      </c>
    </row>
    <row r="14">
      <c r="A14" t="s">
        <v>669</v>
      </c>
      <c r="D14" t="s">
        <v>670</v>
      </c>
      <c r="E14">
        <v>6.695</v>
      </c>
      <c r="F14" t="s">
        <v>92</v>
      </c>
    </row>
    <row r="15">
      <c r="A15" t="s">
        <v>671</v>
      </c>
    </row>
    <row r="16">
      <c r="A16" t="s">
        <v>1117</v>
      </c>
      <c r="D16" t="s">
        <v>666</v>
      </c>
      <c r="E16" s="1">
        <f>I11</f>
        <v>93.84375</v>
      </c>
      <c r="F16" t="s">
        <v>107</v>
      </c>
      <c r="G16">
        <f>E14</f>
        <v>6.695</v>
      </c>
      <c r="H16" t="s">
        <v>53</v>
      </c>
      <c r="I16" s="1">
        <f>E16/G16</f>
        <v>14.016990291262136</v>
      </c>
      <c r="J16" t="s">
        <v>630</v>
      </c>
    </row>
    <row r="17">
      <c r="B17" t="s">
        <v>673</v>
      </c>
    </row>
    <row r="18">
      <c r="A18" t="s">
        <v>674</v>
      </c>
      <c r="D18" s="1">
        <f>I9</f>
        <v>18.63</v>
      </c>
      <c r="E18" t="s">
        <v>148</v>
      </c>
      <c r="F18" s="1">
        <f>I16</f>
        <v>14.016990291262136</v>
      </c>
      <c r="H18" t="s">
        <v>53</v>
      </c>
      <c r="I18" s="1">
        <f>D18+F18</f>
        <v>32.646990291262135</v>
      </c>
      <c r="J18" t="s">
        <v>630</v>
      </c>
    </row>
    <row r="19">
      <c r="A19" t="s">
        <v>1118</v>
      </c>
      <c r="I19" t="s">
        <v>676</v>
      </c>
    </row>
    <row r="20">
      <c r="A20" t="s">
        <v>677</v>
      </c>
      <c r="D20">
        <f>90-2.5-1.25</f>
        <v>86.25</v>
      </c>
      <c r="E20" t="s">
        <v>678</v>
      </c>
    </row>
    <row r="21">
      <c r="A21" t="s">
        <v>679</v>
      </c>
    </row>
    <row r="22">
      <c r="A22" t="s">
        <v>680</v>
      </c>
      <c r="D22" t="s">
        <v>53</v>
      </c>
      <c r="E22">
        <f>71.25-37.5</f>
        <v>33.75</v>
      </c>
      <c r="F22" t="s">
        <v>678</v>
      </c>
      <c r="G22" t="s">
        <v>53</v>
      </c>
      <c r="H22" s="1">
        <f>E22/100</f>
        <v>0.3375</v>
      </c>
      <c r="I22" t="s">
        <v>92</v>
      </c>
    </row>
    <row r="23" ht="28.5" customHeight="1">
      <c r="A23" t="s">
        <v>681</v>
      </c>
      <c r="C23" s="1">
        <f>I18</f>
        <v>32.646990291262135</v>
      </c>
      <c r="D23" t="s">
        <v>91</v>
      </c>
      <c r="E23" s="1">
        <f>H22</f>
        <v>0.3375</v>
      </c>
      <c r="H23" s="1">
        <f>ROUNDUP(C23*E23,2)</f>
        <v>11.02</v>
      </c>
      <c r="I23" t="s">
        <v>682</v>
      </c>
    </row>
    <row r="24" ht="28.5" customHeight="1">
      <c r="B24" t="s">
        <v>53</v>
      </c>
      <c r="C24" s="1">
        <f>H23</f>
        <v>11.02</v>
      </c>
      <c r="D24" t="s">
        <v>91</v>
      </c>
      <c r="E24" s="1">
        <v>10</v>
      </c>
      <c r="F24" t="s">
        <v>53</v>
      </c>
      <c r="G24">
        <f>ROUNDUP(C24*10,2)</f>
        <v>110.2</v>
      </c>
      <c r="H24" t="s">
        <v>683</v>
      </c>
    </row>
    <row r="25">
      <c r="A25" t="s">
        <v>684</v>
      </c>
    </row>
    <row r="26">
      <c r="B26" t="s">
        <v>1119</v>
      </c>
      <c r="E26" s="1">
        <f>G24</f>
        <v>110.2</v>
      </c>
      <c r="F26" s="1" t="s">
        <v>323</v>
      </c>
    </row>
    <row r="27">
      <c r="B27" t="s">
        <v>540</v>
      </c>
      <c r="E27" t="s">
        <v>686</v>
      </c>
    </row>
    <row r="28">
      <c r="B28" t="s">
        <v>541</v>
      </c>
      <c r="E28">
        <v>10</v>
      </c>
      <c r="F28" t="s">
        <v>232</v>
      </c>
    </row>
    <row r="29">
      <c r="B29" t="s">
        <v>85</v>
      </c>
      <c r="E29" s="1">
        <f>280/(3*E28)</f>
        <v>9.333333333333334</v>
      </c>
    </row>
    <row r="30">
      <c r="B30" t="s">
        <v>542</v>
      </c>
      <c r="E30">
        <v>200</v>
      </c>
    </row>
    <row r="31">
      <c r="B31" t="s">
        <v>543</v>
      </c>
      <c r="E31" s="2">
        <f>(E29*E28)/(E28*E29+E30)</f>
        <v>0.3181818181818182</v>
      </c>
    </row>
    <row r="32">
      <c r="B32" t="s">
        <v>544</v>
      </c>
      <c r="E32" s="2">
        <f>1-(E31/3)</f>
        <v>0.8939393939393939</v>
      </c>
    </row>
    <row r="33">
      <c r="B33" t="s">
        <v>173</v>
      </c>
      <c r="E33" s="2">
        <f>0.5*E28*E32*E31</f>
        <v>1.4221763085399448</v>
      </c>
    </row>
    <row r="34">
      <c r="B34" t="s">
        <v>545</v>
      </c>
      <c r="E34" s="4">
        <f>SQRT((E26*1000*1000)/(E33*1000))</f>
        <v>278.364646665695</v>
      </c>
      <c r="F34" t="s">
        <v>230</v>
      </c>
    </row>
    <row r="35">
      <c r="B35" t="s">
        <v>546</v>
      </c>
      <c r="E35" s="4">
        <f>1200</f>
        <v>1200</v>
      </c>
      <c r="F35" t="s">
        <v>230</v>
      </c>
    </row>
    <row r="36">
      <c r="B36" t="s">
        <v>547</v>
      </c>
      <c r="E36" s="4">
        <v>50</v>
      </c>
      <c r="F36" t="s">
        <v>230</v>
      </c>
    </row>
    <row r="37">
      <c r="B37" t="s">
        <v>548</v>
      </c>
      <c r="E37" s="4">
        <v>25</v>
      </c>
      <c r="F37" t="s">
        <v>230</v>
      </c>
    </row>
    <row r="38">
      <c r="B38" t="s">
        <v>549</v>
      </c>
      <c r="E38" s="4">
        <f>E35-E36-E37/2</f>
        <v>1137.5</v>
      </c>
      <c r="F38" t="s">
        <v>230</v>
      </c>
    </row>
    <row r="39">
      <c r="B39" t="s">
        <v>550</v>
      </c>
      <c r="E39">
        <f>IF(E34&gt;E38,E34,E38)</f>
        <v>1137.5</v>
      </c>
      <c r="F39" t="s">
        <v>230</v>
      </c>
    </row>
    <row r="40" ht="14.25" customHeight="1">
      <c r="B40" t="s">
        <v>551</v>
      </c>
      <c r="E40" s="4">
        <f>(E26*1000*1000)/(E30*E32*E39)</f>
        <v>541.8662693238964</v>
      </c>
      <c r="F40" t="s">
        <v>457</v>
      </c>
    </row>
    <row r="41" ht="14.25" customHeight="1">
      <c r="B41" t="s">
        <v>552</v>
      </c>
      <c r="E41" s="4">
        <f>3.14*E37*E37/4</f>
        <v>490.625</v>
      </c>
      <c r="F41" t="s">
        <v>457</v>
      </c>
    </row>
    <row r="42">
      <c r="B42" t="s">
        <v>553</v>
      </c>
      <c r="E42" s="4">
        <f>(E41*1000)/E40</f>
        <v>905.4355802810318</v>
      </c>
      <c r="F42" t="s">
        <v>230</v>
      </c>
    </row>
    <row r="43">
      <c r="B43" t="s">
        <v>554</v>
      </c>
      <c r="C43" s="4">
        <f>E37</f>
        <v>25</v>
      </c>
      <c r="D43" t="s">
        <v>230</v>
      </c>
      <c r="E43" s="4">
        <v>100</v>
      </c>
      <c r="F43" t="s">
        <v>230</v>
      </c>
      <c r="G43" t="s">
        <v>687</v>
      </c>
    </row>
    <row r="44">
      <c r="B44" t="s">
        <v>560</v>
      </c>
      <c r="C44" s="4">
        <f>C43</f>
        <v>25</v>
      </c>
      <c r="D44" t="s">
        <v>230</v>
      </c>
      <c r="E44" s="4">
        <f>E43</f>
        <v>100</v>
      </c>
      <c r="F44" t="s">
        <v>230</v>
      </c>
    </row>
    <row r="45">
      <c r="B45" t="s">
        <v>688</v>
      </c>
      <c r="C45">
        <v>16</v>
      </c>
      <c r="D45" t="s">
        <v>230</v>
      </c>
      <c r="E45" s="4">
        <f>E44</f>
        <v>100</v>
      </c>
      <c r="F45" t="s">
        <v>230</v>
      </c>
    </row>
    <row r="46">
      <c r="A46" t="s">
        <v>1120</v>
      </c>
    </row>
    <row r="47">
      <c r="A47" t="s">
        <v>690</v>
      </c>
    </row>
    <row r="48">
      <c r="A48" t="s">
        <v>691</v>
      </c>
      <c r="C48">
        <v>0.975</v>
      </c>
      <c r="D48" t="s">
        <v>199</v>
      </c>
      <c r="E48">
        <v>15</v>
      </c>
      <c r="F48" t="s">
        <v>662</v>
      </c>
      <c r="G48">
        <v>2.4</v>
      </c>
      <c r="H48" t="s">
        <v>53</v>
      </c>
      <c r="I48" s="1">
        <f>C48*E48*G48</f>
        <v>35.1</v>
      </c>
      <c r="J48" t="s">
        <v>630</v>
      </c>
    </row>
    <row r="49">
      <c r="A49" t="s">
        <v>663</v>
      </c>
      <c r="C49">
        <v>0.075</v>
      </c>
      <c r="D49" t="s">
        <v>199</v>
      </c>
      <c r="E49">
        <v>12</v>
      </c>
      <c r="F49" t="s">
        <v>662</v>
      </c>
      <c r="G49">
        <v>2.4</v>
      </c>
      <c r="H49" t="s">
        <v>53</v>
      </c>
      <c r="I49" s="1">
        <f>C49*E49*G49</f>
        <v>2.1599999999999997</v>
      </c>
      <c r="J49" t="s">
        <v>630</v>
      </c>
    </row>
    <row r="50">
      <c r="G50" t="s">
        <v>171</v>
      </c>
      <c r="I50" s="1">
        <f>SUM(I48:I49)</f>
        <v>37.26</v>
      </c>
      <c r="J50" t="s">
        <v>630</v>
      </c>
    </row>
    <row r="51">
      <c r="A51" t="s">
        <v>1121</v>
      </c>
      <c r="E51" t="s">
        <v>53</v>
      </c>
    </row>
    <row r="52">
      <c r="E52" s="1">
        <f>I50</f>
        <v>37.26</v>
      </c>
      <c r="F52" t="s">
        <v>107</v>
      </c>
      <c r="G52">
        <v>2</v>
      </c>
      <c r="H52" t="s">
        <v>53</v>
      </c>
      <c r="I52" s="1">
        <f>E52/G52</f>
        <v>18.63</v>
      </c>
      <c r="J52" t="s">
        <v>693</v>
      </c>
    </row>
    <row r="53">
      <c r="A53" t="s">
        <v>1122</v>
      </c>
      <c r="E53" t="s">
        <v>695</v>
      </c>
      <c r="I53">
        <v>64.69</v>
      </c>
      <c r="J53" t="s">
        <v>630</v>
      </c>
    </row>
    <row r="55">
      <c r="A55" t="s">
        <v>696</v>
      </c>
    </row>
    <row r="56">
      <c r="A56" t="s">
        <v>697</v>
      </c>
      <c r="C56" t="s">
        <v>695</v>
      </c>
      <c r="D56">
        <v>5.3</v>
      </c>
      <c r="E56" t="s">
        <v>92</v>
      </c>
    </row>
    <row r="58">
      <c r="A58" t="s">
        <v>1123</v>
      </c>
      <c r="E58" s="1">
        <f>I53</f>
        <v>64.69</v>
      </c>
      <c r="F58" t="s">
        <v>107</v>
      </c>
      <c r="G58">
        <f>D56</f>
        <v>5.3</v>
      </c>
      <c r="H58" t="s">
        <v>53</v>
      </c>
      <c r="I58" s="1">
        <f>E58/G58</f>
        <v>12.205660377358491</v>
      </c>
      <c r="J58" t="s">
        <v>693</v>
      </c>
    </row>
    <row r="59">
      <c r="A59" t="s">
        <v>1124</v>
      </c>
      <c r="D59" s="1">
        <f>I52</f>
        <v>18.63</v>
      </c>
      <c r="E59" t="s">
        <v>148</v>
      </c>
      <c r="F59" s="1">
        <f>I58</f>
        <v>12.205660377358491</v>
      </c>
      <c r="H59" t="s">
        <v>53</v>
      </c>
      <c r="I59" s="1">
        <f>ROUNDUP((D59+F59),2)</f>
        <v>30.84</v>
      </c>
      <c r="J59" t="s">
        <v>630</v>
      </c>
    </row>
    <row r="60">
      <c r="A60" t="s">
        <v>700</v>
      </c>
      <c r="I60" t="s">
        <v>676</v>
      </c>
    </row>
    <row r="61">
      <c r="A61" t="s">
        <v>1125</v>
      </c>
    </row>
    <row r="62">
      <c r="A62" t="s">
        <v>702</v>
      </c>
    </row>
    <row r="63" ht="28.5" customHeight="1">
      <c r="A63" t="s">
        <v>703</v>
      </c>
      <c r="C63" s="1">
        <f>I59</f>
        <v>30.84</v>
      </c>
      <c r="D63" t="s">
        <v>91</v>
      </c>
      <c r="E63">
        <v>0</v>
      </c>
      <c r="H63" s="1">
        <f>C63*E63</f>
        <v>0</v>
      </c>
      <c r="I63" t="s">
        <v>682</v>
      </c>
    </row>
    <row r="64">
      <c r="A64" t="s">
        <v>704</v>
      </c>
    </row>
    <row r="65">
      <c r="A65" t="s">
        <v>1126</v>
      </c>
    </row>
    <row r="66">
      <c r="A66" t="s">
        <v>1127</v>
      </c>
    </row>
    <row r="67">
      <c r="A67" t="s">
        <v>707</v>
      </c>
    </row>
    <row r="68">
      <c r="A68" t="s">
        <v>1128</v>
      </c>
    </row>
    <row r="69">
      <c r="A69" t="s">
        <v>709</v>
      </c>
    </row>
    <row r="70">
      <c r="A70" t="s">
        <v>710</v>
      </c>
    </row>
    <row r="71">
      <c r="A71" t="s">
        <v>711</v>
      </c>
    </row>
    <row r="72" ht="14.25" customHeight="1">
      <c r="A72" t="s">
        <v>712</v>
      </c>
      <c r="F72">
        <v>250</v>
      </c>
      <c r="G72" t="s">
        <v>91</v>
      </c>
      <c r="H72">
        <v>1.2</v>
      </c>
      <c r="I72" t="s">
        <v>53</v>
      </c>
      <c r="J72">
        <f>F72*H72</f>
        <v>300</v>
      </c>
      <c r="K72" t="s">
        <v>457</v>
      </c>
    </row>
    <row r="73">
      <c r="A73" t="s">
        <v>1129</v>
      </c>
    </row>
    <row r="74">
      <c r="A74" t="s">
        <v>1130</v>
      </c>
    </row>
    <row r="75">
      <c r="A75" t="s">
        <v>715</v>
      </c>
    </row>
    <row r="76" ht="14.25" customHeight="1">
      <c r="A76" t="s">
        <v>716</v>
      </c>
      <c r="C76" t="s">
        <v>53</v>
      </c>
      <c r="D76">
        <f>14*491</f>
        <v>6874</v>
      </c>
      <c r="E76" t="s">
        <v>457</v>
      </c>
      <c r="F76" t="s">
        <v>717</v>
      </c>
      <c r="H76" t="s">
        <v>718</v>
      </c>
    </row>
    <row r="78">
      <c r="A78" t="s">
        <v>719</v>
      </c>
    </row>
    <row r="79" ht="14.25" customHeight="1">
      <c r="A79" t="s">
        <v>720</v>
      </c>
      <c r="C79" t="s">
        <v>53</v>
      </c>
      <c r="D79">
        <v>2814</v>
      </c>
      <c r="E79" t="s">
        <v>457</v>
      </c>
      <c r="F79" t="s">
        <v>717</v>
      </c>
      <c r="H79" t="s">
        <v>718</v>
      </c>
    </row>
    <row r="80">
      <c r="A80" t="s">
        <v>721</v>
      </c>
    </row>
    <row r="81">
      <c r="B81" t="s">
        <v>722</v>
      </c>
      <c r="C81" s="1">
        <f>I59</f>
        <v>30.84</v>
      </c>
      <c r="D81" t="s">
        <v>630</v>
      </c>
    </row>
    <row r="82">
      <c r="B82" t="s">
        <v>567</v>
      </c>
      <c r="E82" s="1">
        <f>C81*10</f>
        <v>308.4</v>
      </c>
      <c r="F82" t="s">
        <v>204</v>
      </c>
    </row>
    <row r="83">
      <c r="B83" t="s">
        <v>568</v>
      </c>
      <c r="C83" t="s">
        <v>569</v>
      </c>
    </row>
    <row r="84" ht="14.25" customHeight="1">
      <c r="B84" t="s">
        <v>570</v>
      </c>
      <c r="E84" s="1">
        <f>E82*1000/$E$39/1000</f>
        <v>0.2711208791208791</v>
      </c>
      <c r="F84" s="1" t="s">
        <v>232</v>
      </c>
    </row>
    <row r="85">
      <c r="B85" t="s">
        <v>571</v>
      </c>
      <c r="C85" t="s">
        <v>572</v>
      </c>
      <c r="E85" s="1">
        <f>100*$D$79/(1000*$E$39)</f>
        <v>0.2473846153846154</v>
      </c>
    </row>
    <row r="86" ht="14.25" customHeight="1">
      <c r="B86" t="s">
        <v>573</v>
      </c>
      <c r="E86" s="1">
        <v>0.23</v>
      </c>
      <c r="F86" s="1" t="s">
        <v>232</v>
      </c>
    </row>
    <row r="87">
      <c r="B87" t="s">
        <v>574</v>
      </c>
    </row>
    <row r="88" ht="14.25" customHeight="1">
      <c r="B88" t="s">
        <v>575</v>
      </c>
      <c r="E88" s="1">
        <f>E86</f>
        <v>0.23</v>
      </c>
      <c r="F88" s="1" t="s">
        <v>232</v>
      </c>
    </row>
    <row r="89" ht="26.25" customHeight="1">
      <c r="D89" t="s">
        <v>576</v>
      </c>
    </row>
    <row r="90" ht="21" customHeight="1">
      <c r="B90" t="s">
        <v>577</v>
      </c>
      <c r="E90">
        <v>16</v>
      </c>
      <c r="F90" t="s">
        <v>230</v>
      </c>
    </row>
    <row r="91" ht="14.25" customHeight="1">
      <c r="B91" t="s">
        <v>558</v>
      </c>
      <c r="E91" s="4">
        <f>3.14*E90*E90/4</f>
        <v>200.96</v>
      </c>
      <c r="F91" t="s">
        <v>457</v>
      </c>
    </row>
    <row r="92">
      <c r="B92" t="s">
        <v>578</v>
      </c>
      <c r="E92" s="4">
        <f>2*E91*E30*E39/(E82*1000)</f>
        <v>296.48767833981844</v>
      </c>
      <c r="F92" t="s">
        <v>230</v>
      </c>
    </row>
    <row r="93">
      <c r="B93" t="s">
        <v>554</v>
      </c>
      <c r="C93">
        <f>E90</f>
        <v>16</v>
      </c>
      <c r="D93" t="s">
        <v>230</v>
      </c>
      <c r="E93">
        <v>100</v>
      </c>
      <c r="F93" t="s">
        <v>230</v>
      </c>
      <c r="G93" t="s">
        <v>687</v>
      </c>
    </row>
    <row r="94">
      <c r="A94" t="s">
        <v>723</v>
      </c>
    </row>
    <row r="95">
      <c r="A95" t="s">
        <v>1131</v>
      </c>
    </row>
    <row r="96">
      <c r="A96" t="s">
        <v>1132</v>
      </c>
    </row>
    <row r="97"/>
    <row r="98">
      <c r="A98" t="s">
        <v>726</v>
      </c>
    </row>
    <row r="99">
      <c r="B99" t="s">
        <v>722</v>
      </c>
      <c r="C99">
        <v>20.3</v>
      </c>
      <c r="D99" t="s">
        <v>630</v>
      </c>
    </row>
    <row r="100">
      <c r="B100" t="s">
        <v>567</v>
      </c>
      <c r="E100" s="1">
        <f>C99*10</f>
        <v>203</v>
      </c>
      <c r="F100" t="s">
        <v>204</v>
      </c>
    </row>
    <row r="101">
      <c r="B101" t="s">
        <v>568</v>
      </c>
      <c r="C101" t="s">
        <v>569</v>
      </c>
    </row>
    <row r="102" ht="14.25" customHeight="1">
      <c r="B102" t="s">
        <v>570</v>
      </c>
      <c r="E102" s="1">
        <f>E100*1000/$E$39/1000</f>
        <v>0.17846153846153845</v>
      </c>
      <c r="F102" s="1" t="s">
        <v>232</v>
      </c>
    </row>
    <row r="103">
      <c r="B103" t="s">
        <v>571</v>
      </c>
      <c r="C103" t="s">
        <v>572</v>
      </c>
      <c r="E103" s="1">
        <f>100*$D$79/(1000*$E$39)</f>
        <v>0.2473846153846154</v>
      </c>
    </row>
    <row r="104" ht="14.25" customHeight="1">
      <c r="B104" t="s">
        <v>573</v>
      </c>
      <c r="E104" s="1">
        <v>0.23</v>
      </c>
      <c r="F104" s="1" t="s">
        <v>232</v>
      </c>
    </row>
    <row r="105">
      <c r="B105" t="s">
        <v>574</v>
      </c>
    </row>
    <row r="106" ht="14.25" customHeight="1">
      <c r="B106" t="s">
        <v>575</v>
      </c>
      <c r="E106" s="1">
        <f>E104</f>
        <v>0.23</v>
      </c>
      <c r="F106" s="1" t="s">
        <v>232</v>
      </c>
    </row>
    <row r="107" ht="26.25" customHeight="1">
      <c r="D107" t="s">
        <v>727</v>
      </c>
    </row>
    <row r="108">
      <c r="A108" t="s">
        <v>723</v>
      </c>
    </row>
    <row r="109">
      <c r="A109" t="s">
        <v>1131</v>
      </c>
    </row>
    <row r="110">
      <c r="A110" t="s">
        <v>1132</v>
      </c>
    </row>
  </sheetData>
  <mergeCells count="4">
    <mergeCell ref="A23:B23"/>
    <mergeCell ref="A63:B63"/>
    <mergeCell ref="D89:G89"/>
    <mergeCell ref="D107:G107"/>
  </mergeCells>
  <pageMargins left="0.75" right="0.75" top="1" bottom="1" header="0.5" footer="0.5"/>
  <ignoredErrors>
    <ignoredError numberStoredAsText="1" sqref="A1:N110"/>
  </ignoredErrors>
</worksheet>
</file>

<file path=xl/worksheets/sheet26.xml><?xml version="1.0" encoding="utf-8"?>
<worksheet xmlns="http://schemas.openxmlformats.org/spreadsheetml/2006/main" xmlns:r="http://schemas.openxmlformats.org/officeDocument/2006/relationships">
  <dimension ref="A1:P50"/>
  <sheetViews>
    <sheetView workbookViewId="0" rightToLeft="0"/>
  </sheetViews>
  <cols>
    <col min="5" max="5" customWidth="1" width="6.28515625"/>
    <col min="6" max="6" customWidth="1" width="10.42578125"/>
    <col min="7" max="7" customWidth="1" width="8.42578125"/>
    <col min="8" max="8" customWidth="1" width="16.42578125"/>
    <col min="9" max="9" customWidth="1" width="4.5703125"/>
  </cols>
  <sheetData>
    <row r="1" ht="18" customHeight="1">
      <c r="A1" t="s">
        <v>1133</v>
      </c>
    </row>
    <row r="2">
      <c r="A2" t="s">
        <v>1134</v>
      </c>
      <c r="F2" s="1">
        <f>'TYPE1-DIRT DirectLoad_BM'!N25</f>
        <v>31.6</v>
      </c>
      <c r="G2" t="s">
        <v>889</v>
      </c>
    </row>
    <row r="3">
      <c r="A3" t="s">
        <v>1135</v>
      </c>
      <c r="F3">
        <v>1000</v>
      </c>
      <c r="G3" t="s">
        <v>465</v>
      </c>
      <c r="H3" t="s">
        <v>1136</v>
      </c>
      <c r="I3" s="1">
        <f>(300/500+F3/300)/F3</f>
        <v>0.003933333333333334</v>
      </c>
    </row>
    <row r="4">
      <c r="A4" t="s">
        <v>1137</v>
      </c>
      <c r="F4">
        <v>300</v>
      </c>
      <c r="G4" t="s">
        <v>465</v>
      </c>
      <c r="H4" t="s">
        <v>1138</v>
      </c>
      <c r="I4" s="1">
        <f>(300/500+F4/300)/F4</f>
        <v>0.005333333333333334</v>
      </c>
    </row>
    <row r="5">
      <c r="A5" t="s">
        <v>1139</v>
      </c>
      <c r="F5" s="1">
        <f>'TYPE1-DIRT DirectLoad_BM'!D62*10</f>
        <v>12.8</v>
      </c>
      <c r="G5" t="s">
        <v>1140</v>
      </c>
    </row>
    <row r="6">
      <c r="A6" t="s">
        <v>1141</v>
      </c>
      <c r="F6" s="1">
        <f>F2*1.5</f>
        <v>47.400000000000006</v>
      </c>
      <c r="G6" t="s">
        <v>889</v>
      </c>
    </row>
    <row r="7">
      <c r="A7" t="s">
        <v>1142</v>
      </c>
      <c r="F7" s="1">
        <f>F5*1.5</f>
        <v>19.200000000000003</v>
      </c>
      <c r="G7" t="s">
        <v>1140</v>
      </c>
    </row>
    <row r="8">
      <c r="A8" t="s">
        <v>1143</v>
      </c>
      <c r="F8">
        <v>10</v>
      </c>
      <c r="G8" t="s">
        <v>465</v>
      </c>
    </row>
    <row r="9">
      <c r="A9" t="s">
        <v>1144</v>
      </c>
      <c r="F9">
        <v>40</v>
      </c>
      <c r="G9" t="s">
        <v>465</v>
      </c>
    </row>
    <row r="10">
      <c r="A10" t="s">
        <v>1145</v>
      </c>
      <c r="F10">
        <f>F9+(F8/2)</f>
        <v>45</v>
      </c>
      <c r="G10" t="s">
        <v>465</v>
      </c>
    </row>
    <row r="11">
      <c r="A11" t="s">
        <v>1146</v>
      </c>
      <c r="F11" s="1">
        <f>F10/F4</f>
        <v>0.15</v>
      </c>
    </row>
    <row r="12">
      <c r="A12" t="s">
        <v>1147</v>
      </c>
      <c r="F12" s="1">
        <v>0.15</v>
      </c>
    </row>
    <row r="13">
      <c r="A13" t="s">
        <v>1148</v>
      </c>
      <c r="F13" s="1">
        <f>F6*1000/(30*F3*F4)</f>
        <v>0.005266666666666668</v>
      </c>
    </row>
    <row r="14" ht="14.25" customHeight="1">
      <c r="A14" t="s">
        <v>1149</v>
      </c>
      <c r="F14" s="1">
        <f>F7*1000000/(30*F3*F4^2)</f>
        <v>0.007111111111111112</v>
      </c>
    </row>
    <row r="15">
      <c r="A15" t="s">
        <v>1150</v>
      </c>
    </row>
    <row r="16">
      <c r="A16" t="s">
        <v>1151</v>
      </c>
      <c r="F16">
        <v>33</v>
      </c>
      <c r="H16" t="s">
        <v>1152</v>
      </c>
    </row>
    <row r="17">
      <c r="A17" t="s">
        <v>1153</v>
      </c>
      <c r="F17">
        <v>0.01</v>
      </c>
    </row>
    <row r="18">
      <c r="A18" t="s">
        <v>60</v>
      </c>
      <c r="F18">
        <f>F17*30</f>
        <v>0.3</v>
      </c>
      <c r="H18" t="s">
        <v>1154</v>
      </c>
    </row>
    <row r="19">
      <c r="A19" t="s">
        <v>1155</v>
      </c>
      <c r="F19">
        <f>F18*F3*F4/100</f>
        <v>900</v>
      </c>
      <c r="G19" t="s">
        <v>1156</v>
      </c>
    </row>
    <row r="20">
      <c r="A20" t="s">
        <v>1157</v>
      </c>
      <c r="F20" s="4">
        <f>ROUNDUP(F19/(0.785*(F8^2)),0)</f>
        <v>12</v>
      </c>
    </row>
    <row r="21">
      <c r="A21" t="s">
        <v>1158</v>
      </c>
      <c r="F21" s="4">
        <f>ROUNDUP(F20/2,0)</f>
        <v>6</v>
      </c>
    </row>
    <row r="22">
      <c r="A22" t="s">
        <v>1159</v>
      </c>
      <c r="F22">
        <f>F3/(F21-1)</f>
        <v>200</v>
      </c>
      <c r="G22" t="s">
        <v>465</v>
      </c>
    </row>
    <row r="24" ht="15.75" customHeight="1">
      <c r="A24" t="s">
        <v>1160</v>
      </c>
    </row>
    <row r="26">
      <c r="D26" t="s">
        <v>1161</v>
      </c>
      <c r="E26" t="s">
        <v>53</v>
      </c>
      <c r="F26" s="1">
        <f>F5</f>
        <v>12.8</v>
      </c>
      <c r="G26" t="s">
        <f>G5</f>
        <v>1140</v>
      </c>
    </row>
    <row r="27" ht="14.25" customHeight="1">
      <c r="C27" t="s">
        <v>1162</v>
      </c>
      <c r="F27" s="1">
        <f>F26</f>
        <v>12.8</v>
      </c>
      <c r="G27" t="s">
        <v>91</v>
      </c>
      <c r="H27" t="s">
        <v>1163</v>
      </c>
      <c r="I27" t="s">
        <v>53</v>
      </c>
      <c r="J27">
        <v>118.7</v>
      </c>
      <c r="K27" t="s">
        <v>230</v>
      </c>
    </row>
    <row r="28">
      <c r="F28">
        <v>1000</v>
      </c>
      <c r="G28" t="s">
        <v>91</v>
      </c>
      <c r="H28">
        <v>0.972</v>
      </c>
    </row>
    <row r="29">
      <c r="C29" t="s">
        <v>1164</v>
      </c>
      <c r="D29">
        <f>F4</f>
        <v>300</v>
      </c>
      <c r="E29" t="s">
        <v>136</v>
      </c>
      <c r="F29">
        <v>50</v>
      </c>
      <c r="G29" t="s">
        <v>136</v>
      </c>
      <c r="H29">
        <v>16</v>
      </c>
      <c r="I29" t="s">
        <v>53</v>
      </c>
      <c r="J29">
        <f>D29-F29-F8/2</f>
        <v>245</v>
      </c>
      <c r="K29" t="s">
        <v>230</v>
      </c>
      <c r="L29" t="s">
        <v>1165</v>
      </c>
      <c r="M29">
        <v>118.7</v>
      </c>
      <c r="O29" t="s">
        <v>230</v>
      </c>
      <c r="P29" t="s">
        <v>1166</v>
      </c>
    </row>
    <row r="30">
      <c r="H30">
        <v>2</v>
      </c>
    </row>
    <row r="31" ht="14.25" customHeight="1">
      <c r="C31" t="s">
        <v>1167</v>
      </c>
      <c r="D31" t="s">
        <v>53</v>
      </c>
      <c r="F31" s="1">
        <f>F27</f>
        <v>12.8</v>
      </c>
      <c r="G31" t="s">
        <v>440</v>
      </c>
      <c r="I31" t="s">
        <v>1163</v>
      </c>
      <c r="K31" t="s">
        <v>53</v>
      </c>
      <c r="L31" s="1">
        <f>F31*1000000/(F32*H32*J32)</f>
        <v>284.86858211114327</v>
      </c>
      <c r="M31" t="s">
        <v>457</v>
      </c>
    </row>
    <row r="32">
      <c r="F32">
        <v>200</v>
      </c>
      <c r="G32" t="s">
        <v>440</v>
      </c>
      <c r="H32">
        <v>0.917</v>
      </c>
      <c r="I32" t="s">
        <v>91</v>
      </c>
      <c r="J32">
        <f>J29</f>
        <v>245</v>
      </c>
    </row>
    <row r="33">
      <c r="B33" t="s">
        <v>1168</v>
      </c>
      <c r="F33" t="s">
        <v>1169</v>
      </c>
      <c r="G33" t="s">
        <v>1170</v>
      </c>
    </row>
    <row r="35">
      <c r="B35" t="s">
        <v>1171</v>
      </c>
    </row>
    <row r="36" ht="14.25" customHeight="1">
      <c r="B36" t="s">
        <v>1172</v>
      </c>
      <c r="G36" t="s">
        <v>53</v>
      </c>
      <c r="H36" s="4">
        <f>ROUNDUP(78.5*1000/150,0)</f>
        <v>524</v>
      </c>
      <c r="I36" t="s">
        <v>457</v>
      </c>
    </row>
    <row r="37" ht="14.25" customHeight="1">
      <c r="B37" t="s">
        <v>1173</v>
      </c>
      <c r="G37" t="s">
        <v>53</v>
      </c>
      <c r="H37">
        <f>H36</f>
        <v>524</v>
      </c>
      <c r="I37" t="s">
        <v>457</v>
      </c>
    </row>
    <row r="38">
      <c r="B38" t="s">
        <v>1174</v>
      </c>
    </row>
    <row r="39">
      <c r="B39" t="s">
        <v>53</v>
      </c>
      <c r="C39">
        <v>0.002</v>
      </c>
      <c r="D39" t="s">
        <v>91</v>
      </c>
      <c r="E39">
        <v>1000</v>
      </c>
      <c r="F39" t="s">
        <v>91</v>
      </c>
      <c r="G39">
        <v>250</v>
      </c>
    </row>
    <row r="40" ht="14.25" customHeight="1">
      <c r="B40" t="s">
        <v>53</v>
      </c>
      <c r="D40" s="4">
        <v>500</v>
      </c>
      <c r="E40" t="s">
        <v>457</v>
      </c>
    </row>
    <row r="41" ht="14.25" customHeight="1">
      <c r="B41" t="s">
        <v>1175</v>
      </c>
      <c r="D41" t="s">
        <v>1176</v>
      </c>
    </row>
    <row r="42" ht="14.25" customHeight="1">
      <c r="B42" t="s">
        <v>1177</v>
      </c>
      <c r="D42" t="s">
        <v>1178</v>
      </c>
      <c r="F42" t="s">
        <v>1179</v>
      </c>
      <c r="G42" t="s">
        <v>53</v>
      </c>
      <c r="H42" s="4">
        <f>1000/250*78.5</f>
        <v>314</v>
      </c>
      <c r="I42" t="s">
        <v>457</v>
      </c>
    </row>
    <row r="43">
      <c r="C43" t="s">
        <v>504</v>
      </c>
    </row>
    <row r="44">
      <c r="C44" t="s">
        <v>1180</v>
      </c>
    </row>
    <row r="45">
      <c r="C45" t="s">
        <v>1181</v>
      </c>
      <c r="D45">
        <v>10</v>
      </c>
      <c r="E45" t="s">
        <v>230</v>
      </c>
    </row>
    <row r="46">
      <c r="C46" t="s">
        <v>464</v>
      </c>
      <c r="D46">
        <v>150</v>
      </c>
      <c r="E46" t="s">
        <v>230</v>
      </c>
    </row>
    <row r="47"/>
    <row r="48">
      <c r="C48" t="s">
        <v>1182</v>
      </c>
    </row>
    <row r="49">
      <c r="C49" t="s">
        <v>1181</v>
      </c>
      <c r="D49">
        <v>10</v>
      </c>
      <c r="E49" t="s">
        <v>230</v>
      </c>
    </row>
    <row r="50">
      <c r="C50" t="s">
        <v>464</v>
      </c>
      <c r="D50">
        <v>250</v>
      </c>
      <c r="E50" t="s">
        <v>230</v>
      </c>
    </row>
  </sheetData>
  <mergeCells count="13">
    <mergeCell ref="L29:L30"/>
    <mergeCell ref="M29:N30"/>
    <mergeCell ref="O29:O30"/>
    <mergeCell ref="P29:P30"/>
    <mergeCell ref="I31:J31"/>
    <mergeCell ref="K31:K32"/>
    <mergeCell ref="L31:L32"/>
    <mergeCell ref="I27:I28"/>
    <mergeCell ref="J27:J28"/>
    <mergeCell ref="K27:K28"/>
    <mergeCell ref="I29:I30"/>
    <mergeCell ref="J29:J30"/>
    <mergeCell ref="K29:K30"/>
  </mergeCells>
  <pageMargins left="0.75" right="0.75" top="1" bottom="1" header="0.5" footer="0.5"/>
  <ignoredErrors>
    <ignoredError numberStoredAsText="1" sqref="A1:P50"/>
  </ignoredErrors>
</worksheet>
</file>

<file path=xl/worksheets/sheet27.xml><?xml version="1.0" encoding="utf-8"?>
<worksheet xmlns="http://schemas.openxmlformats.org/spreadsheetml/2006/main" xmlns:r="http://schemas.openxmlformats.org/officeDocument/2006/relationships">
  <dimension ref="A1:P97"/>
  <sheetViews>
    <sheetView workbookViewId="0" rightToLeft="0"/>
  </sheetViews>
  <cols>
    <col min="1" max="1" customWidth="1" width="3.7109375"/>
    <col min="2" max="2" customWidth="1" width="6"/>
    <col min="3" max="3" customWidth="1" width="6"/>
    <col min="4" max="4" customWidth="1" width="12.42578125"/>
    <col min="5" max="5" customWidth="1" width="7.7109375"/>
    <col min="6" max="6" customWidth="1" width="7.140625"/>
    <col min="7" max="7" customWidth="1" width="6.42578125"/>
    <col min="8" max="8" customWidth="1" width="6"/>
    <col min="9" max="9" customWidth="1" width="1.85546875"/>
    <col min="10" max="10" customWidth="1" width="5.85546875"/>
    <col min="11" max="11" customWidth="1" width="5.85546875"/>
    <col min="12" max="12" customWidth="1" width="7.28515625"/>
    <col min="13" max="13" customWidth="1" width="3.42578125"/>
    <col min="14" max="14" customWidth="1" width="5.5703125"/>
    <col min="15" max="15" customWidth="1" width="7"/>
    <col min="16" max="16" customWidth="1" width="6.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c r="A1" t="s">
        <v>1183</v>
      </c>
    </row>
    <row r="2">
      <c r="B2" t="s">
        <v>1184</v>
      </c>
    </row>
    <row r="3">
      <c r="B3" t="s">
        <v>1185</v>
      </c>
      <c r="C3" t="s">
        <v>936</v>
      </c>
    </row>
    <row r="4">
      <c r="B4" t="s">
        <v>1186</v>
      </c>
      <c r="C4" t="s">
        <v>1187</v>
      </c>
    </row>
    <row r="5">
      <c r="B5" t="s">
        <v>1188</v>
      </c>
      <c r="C5" t="s">
        <v>1189</v>
      </c>
    </row>
    <row r="6">
      <c r="B6" t="s">
        <v>1188</v>
      </c>
      <c r="C6" t="s">
        <v>1190</v>
      </c>
    </row>
    <row r="7">
      <c r="B7" t="s">
        <v>1191</v>
      </c>
      <c r="C7" t="s">
        <v>1192</v>
      </c>
    </row>
    <row r="8">
      <c r="C8" t="s">
        <v>1193</v>
      </c>
    </row>
    <row r="9">
      <c r="C9" t="s">
        <v>1194</v>
      </c>
    </row>
    <row r="11">
      <c r="B11" t="s">
        <v>53</v>
      </c>
      <c r="C11" s="1">
        <v>2.9</v>
      </c>
      <c r="D11" t="s">
        <v>148</v>
      </c>
      <c r="E11" t="s">
        <v>234</v>
      </c>
      <c r="F11">
        <v>1.2</v>
      </c>
      <c r="G11" t="s">
        <v>148</v>
      </c>
      <c r="H11">
        <v>0.305</v>
      </c>
      <c r="I11" t="s">
        <v>105</v>
      </c>
      <c r="J11" t="s">
        <v>148</v>
      </c>
      <c r="K11">
        <v>0.83</v>
      </c>
    </row>
    <row r="13">
      <c r="B13" t="s">
        <v>53</v>
      </c>
      <c r="C13" s="1">
        <v>2.9</v>
      </c>
      <c r="D13" t="s">
        <v>148</v>
      </c>
      <c r="E13">
        <v>1.53</v>
      </c>
      <c r="G13" t="s">
        <v>148</v>
      </c>
      <c r="H13">
        <v>0.825</v>
      </c>
    </row>
    <row r="15">
      <c r="B15" t="s">
        <v>53</v>
      </c>
      <c r="C15">
        <v>5.255</v>
      </c>
      <c r="D15" t="s">
        <v>92</v>
      </c>
    </row>
    <row r="16">
      <c r="B16" t="s">
        <v>1195</v>
      </c>
      <c r="D16" t="s">
        <v>53</v>
      </c>
      <c r="E16">
        <v>14</v>
      </c>
      <c r="G16" t="s">
        <v>53</v>
      </c>
      <c r="H16">
        <v>2.66</v>
      </c>
      <c r="I16" t="s">
        <v>625</v>
      </c>
    </row>
    <row r="17">
      <c r="B17" t="s">
        <v>1196</v>
      </c>
      <c r="E17">
        <v>5.255</v>
      </c>
    </row>
    <row r="18">
      <c r="B18" t="s">
        <v>1197</v>
      </c>
      <c r="C18" t="s">
        <v>1198</v>
      </c>
    </row>
    <row r="19">
      <c r="B19" t="s">
        <v>53</v>
      </c>
      <c r="C19">
        <v>0.6</v>
      </c>
      <c r="D19" t="s">
        <v>91</v>
      </c>
      <c r="E19">
        <v>0.3</v>
      </c>
      <c r="F19" t="s">
        <v>91</v>
      </c>
      <c r="G19">
        <v>2.4</v>
      </c>
    </row>
    <row r="21">
      <c r="B21" t="s">
        <v>53</v>
      </c>
      <c r="C21">
        <v>0.495</v>
      </c>
      <c r="D21" t="s">
        <v>625</v>
      </c>
    </row>
    <row r="23">
      <c r="B23" t="s">
        <v>1199</v>
      </c>
      <c r="C23">
        <v>0.5</v>
      </c>
      <c r="D23" t="s">
        <v>625</v>
      </c>
    </row>
    <row r="25">
      <c r="B25" t="s">
        <v>1200</v>
      </c>
      <c r="E25">
        <v>2.66</v>
      </c>
      <c r="G25" t="s">
        <v>148</v>
      </c>
      <c r="H25">
        <v>0.5</v>
      </c>
      <c r="I25" t="s">
        <v>53</v>
      </c>
      <c r="J25">
        <v>3.16</v>
      </c>
      <c r="L25" t="s">
        <v>625</v>
      </c>
      <c r="M25" t="s">
        <v>53</v>
      </c>
      <c r="N25">
        <f>J25*10</f>
        <v>31.6</v>
      </c>
      <c r="O25" t="s">
        <v>204</v>
      </c>
    </row>
    <row r="27">
      <c r="B27" t="s">
        <v>1201</v>
      </c>
    </row>
    <row r="28">
      <c r="B28" t="s">
        <v>1202</v>
      </c>
    </row>
    <row r="29">
      <c r="B29" t="s">
        <v>1203</v>
      </c>
    </row>
    <row r="31">
      <c r="B31" t="s">
        <v>1204</v>
      </c>
      <c r="E31" t="s">
        <v>53</v>
      </c>
      <c r="G31">
        <v>0.2</v>
      </c>
      <c r="H31" t="s">
        <v>91</v>
      </c>
      <c r="I31">
        <v>14</v>
      </c>
      <c r="K31" t="s">
        <v>91</v>
      </c>
      <c r="L31">
        <v>1</v>
      </c>
      <c r="M31" t="s">
        <v>53</v>
      </c>
      <c r="N31">
        <v>0.53</v>
      </c>
      <c r="O31" t="s">
        <v>630</v>
      </c>
    </row>
    <row r="32">
      <c r="H32">
        <v>5.255</v>
      </c>
    </row>
    <row r="33">
      <c r="B33" t="s">
        <v>1205</v>
      </c>
    </row>
    <row r="35">
      <c r="B35" t="s">
        <v>53</v>
      </c>
      <c r="C35">
        <v>0.53</v>
      </c>
      <c r="D35" t="s">
        <v>1206</v>
      </c>
      <c r="E35" s="9">
        <v>1.2</v>
      </c>
      <c r="F35" t="s">
        <v>1207</v>
      </c>
      <c r="G35">
        <v>0.83</v>
      </c>
      <c r="M35" t="s">
        <v>1208</v>
      </c>
    </row>
    <row r="36">
      <c r="B36" t="s">
        <v>53</v>
      </c>
      <c r="C36">
        <v>1.07</v>
      </c>
      <c r="D36" t="s">
        <v>890</v>
      </c>
    </row>
    <row r="37">
      <c r="B37" t="s">
        <v>1209</v>
      </c>
    </row>
    <row r="39">
      <c r="B39" t="s">
        <v>53</v>
      </c>
      <c r="C39">
        <v>0.224</v>
      </c>
      <c r="D39" t="s">
        <v>91</v>
      </c>
      <c r="E39" s="9">
        <v>1.8</v>
      </c>
      <c r="F39" t="s">
        <v>91</v>
      </c>
      <c r="G39">
        <v>1.2</v>
      </c>
    </row>
    <row r="41" ht="14.25" customHeight="1">
      <c r="B41" t="s">
        <v>53</v>
      </c>
      <c r="C41">
        <v>0.483</v>
      </c>
      <c r="D41" t="s">
        <v>1210</v>
      </c>
    </row>
    <row r="43">
      <c r="B43" t="s">
        <v>1211</v>
      </c>
      <c r="G43" t="s">
        <v>53</v>
      </c>
    </row>
    <row r="45">
      <c r="B45" t="s">
        <v>53</v>
      </c>
      <c r="C45">
        <v>0.224</v>
      </c>
      <c r="D45" t="s">
        <v>91</v>
      </c>
      <c r="E45" s="9">
        <v>1.8</v>
      </c>
      <c r="F45" t="s">
        <v>1212</v>
      </c>
      <c r="G45">
        <v>1.2</v>
      </c>
      <c r="H45" t="s">
        <v>148</v>
      </c>
      <c r="I45">
        <v>0.825</v>
      </c>
      <c r="K45" t="s">
        <v>105</v>
      </c>
    </row>
    <row r="47" ht="14.25" customHeight="1">
      <c r="B47" t="s">
        <v>53</v>
      </c>
      <c r="C47">
        <v>0.816</v>
      </c>
      <c r="D47" t="s">
        <v>1210</v>
      </c>
    </row>
    <row r="48">
      <c r="B48" t="s">
        <v>1213</v>
      </c>
    </row>
    <row r="49">
      <c r="B49" t="s">
        <v>1214</v>
      </c>
    </row>
    <row r="50">
      <c r="C50">
        <v>1</v>
      </c>
      <c r="D50" t="s">
        <v>1215</v>
      </c>
      <c r="E50">
        <v>0.816</v>
      </c>
      <c r="G50" t="s">
        <v>136</v>
      </c>
      <c r="H50">
        <v>0.483</v>
      </c>
      <c r="J50" t="s">
        <v>1216</v>
      </c>
      <c r="K50">
        <v>0.825</v>
      </c>
      <c r="L50" t="s">
        <v>440</v>
      </c>
      <c r="M50">
        <v>0.42</v>
      </c>
      <c r="O50" t="s">
        <v>440</v>
      </c>
      <c r="P50">
        <v>0.875</v>
      </c>
    </row>
    <row r="51">
      <c r="B51" t="s">
        <v>53</v>
      </c>
      <c r="C51">
        <v>2</v>
      </c>
    </row>
    <row r="53">
      <c r="D53" t="s">
        <v>148</v>
      </c>
      <c r="E53">
        <v>0.483</v>
      </c>
      <c r="G53" t="s">
        <v>440</v>
      </c>
      <c r="H53">
        <v>0.825</v>
      </c>
      <c r="J53" t="s">
        <v>1217</v>
      </c>
      <c r="K53">
        <v>0.528</v>
      </c>
    </row>
    <row r="54">
      <c r="K54">
        <v>2</v>
      </c>
    </row>
    <row r="55">
      <c r="B55" t="s">
        <v>53</v>
      </c>
      <c r="C55">
        <v>0.048</v>
      </c>
      <c r="D55" t="s">
        <v>148</v>
      </c>
      <c r="E55">
        <v>0.164</v>
      </c>
    </row>
    <row r="57">
      <c r="B57" t="s">
        <v>53</v>
      </c>
      <c r="C57">
        <v>0.21</v>
      </c>
      <c r="D57" t="s">
        <v>890</v>
      </c>
    </row>
    <row r="58">
      <c r="C58" t="s">
        <v>1218</v>
      </c>
    </row>
    <row r="60">
      <c r="B60" t="s">
        <v>53</v>
      </c>
      <c r="D60">
        <v>1.07</v>
      </c>
      <c r="E60" t="s">
        <v>148</v>
      </c>
      <c r="F60">
        <v>0.21</v>
      </c>
    </row>
    <row r="61"/>
    <row r="62">
      <c r="B62" t="s">
        <v>53</v>
      </c>
      <c r="D62">
        <v>1.28</v>
      </c>
      <c r="E62" t="s">
        <v>890</v>
      </c>
      <c r="F62" t="s">
        <v>53</v>
      </c>
      <c r="G62">
        <f>D62*10</f>
        <v>12.8</v>
      </c>
      <c r="H62" t="s">
        <v>323</v>
      </c>
    </row>
    <row r="63" ht="21" customHeight="1">
      <c r="B63" t="s">
        <v>1219</v>
      </c>
      <c r="D63" t="s">
        <v>53</v>
      </c>
      <c r="E63">
        <v>3.16</v>
      </c>
      <c r="G63" t="s">
        <v>440</v>
      </c>
      <c r="H63" t="s">
        <v>1220</v>
      </c>
    </row>
    <row r="64">
      <c r="F64">
        <v>30</v>
      </c>
      <c r="G64" t="s">
        <v>440</v>
      </c>
      <c r="H64">
        <v>100</v>
      </c>
    </row>
    <row r="65" ht="14.25" customHeight="1">
      <c r="D65" t="s">
        <v>53</v>
      </c>
      <c r="E65">
        <f>1.26*25/30</f>
        <v>1.05</v>
      </c>
      <c r="G65" t="s">
        <v>1221</v>
      </c>
    </row>
    <row r="68" ht="14.25" customHeight="1">
      <c r="B68" t="s">
        <v>1222</v>
      </c>
      <c r="D68" t="s">
        <v>53</v>
      </c>
      <c r="E68">
        <v>1.28</v>
      </c>
      <c r="G68" t="s">
        <v>440</v>
      </c>
      <c r="H68" t="s">
        <v>1220</v>
      </c>
    </row>
    <row r="69" ht="14.25" customHeight="1">
      <c r="E69">
        <v>1</v>
      </c>
      <c r="F69" t="s">
        <v>440</v>
      </c>
      <c r="G69">
        <v>100</v>
      </c>
      <c r="H69" t="s">
        <v>440</v>
      </c>
      <c r="I69" t="s">
        <v>1223</v>
      </c>
    </row>
    <row r="70">
      <c r="E70">
        <v>6</v>
      </c>
    </row>
    <row r="72" ht="14.25" customHeight="1">
      <c r="D72" t="s">
        <v>53</v>
      </c>
      <c r="E72" s="1">
        <f>1280/(100*900/6)</f>
        <v>0.08533333333333333</v>
      </c>
      <c r="G72" t="s">
        <v>1221</v>
      </c>
    </row>
    <row r="74">
      <c r="B74" t="s">
        <v>1224</v>
      </c>
    </row>
    <row r="75"/>
    <row r="76" ht="14.25" customHeight="1">
      <c r="B76" t="s">
        <v>1225</v>
      </c>
      <c r="G76">
        <v>67</v>
      </c>
      <c r="H76" t="s">
        <v>1221</v>
      </c>
    </row>
    <row r="79">
      <c r="B79" t="s">
        <v>1226</v>
      </c>
    </row>
    <row r="80" ht="14.25" customHeight="1">
      <c r="C80" t="s">
        <v>328</v>
      </c>
      <c r="D80" t="s">
        <v>53</v>
      </c>
      <c r="E80">
        <v>50</v>
      </c>
      <c r="F80" t="s">
        <v>1221</v>
      </c>
    </row>
    <row r="83">
      <c r="B83" t="s">
        <v>53</v>
      </c>
      <c r="D83">
        <v>1.05</v>
      </c>
      <c r="E83" t="s">
        <v>148</v>
      </c>
      <c r="F83">
        <v>0.09</v>
      </c>
      <c r="H83" t="s">
        <v>1021</v>
      </c>
      <c r="I83">
        <v>1</v>
      </c>
    </row>
    <row r="84">
      <c r="D84">
        <v>50</v>
      </c>
      <c r="F84">
        <v>67</v>
      </c>
    </row>
    <row r="86">
      <c r="B86" t="s">
        <v>53</v>
      </c>
      <c r="D86">
        <f>1.05/50</f>
        <v>0.021</v>
      </c>
      <c r="E86" t="s">
        <v>148</v>
      </c>
      <c r="F86" s="2">
        <f>0.09/67</f>
        <v>0.0013432835820895521</v>
      </c>
      <c r="H86" t="s">
        <v>1021</v>
      </c>
      <c r="I86">
        <v>1</v>
      </c>
    </row>
    <row r="87"/>
    <row r="88">
      <c r="B88" t="s">
        <v>53</v>
      </c>
      <c r="D88">
        <v>0.022</v>
      </c>
      <c r="H88" t="s">
        <v>1021</v>
      </c>
      <c r="I88">
        <v>1</v>
      </c>
      <c r="K88" t="s">
        <v>1227</v>
      </c>
    </row>
    <row r="94"/>
    <row r="95"/>
    <row r="97"/>
  </sheetData>
  <mergeCells count="43">
    <mergeCell ref="F86:G86"/>
    <mergeCell ref="E83:E84"/>
    <mergeCell ref="F83:G83"/>
    <mergeCell ref="H83:H84"/>
    <mergeCell ref="I83:I84"/>
    <mergeCell ref="J83:J84"/>
    <mergeCell ref="F84:G84"/>
    <mergeCell ref="E55:F55"/>
    <mergeCell ref="E63:F63"/>
    <mergeCell ref="E65:F65"/>
    <mergeCell ref="E68:F68"/>
    <mergeCell ref="I69:J69"/>
    <mergeCell ref="E72:F72"/>
    <mergeCell ref="K50:K51"/>
    <mergeCell ref="L50:L51"/>
    <mergeCell ref="M50:N51"/>
    <mergeCell ref="O50:O51"/>
    <mergeCell ref="P50:P51"/>
    <mergeCell ref="E53:F54"/>
    <mergeCell ref="G53:G54"/>
    <mergeCell ref="H53:I54"/>
    <mergeCell ref="J53:J54"/>
    <mergeCell ref="H37:I37"/>
    <mergeCell ref="H43:I43"/>
    <mergeCell ref="I45:J45"/>
    <mergeCell ref="D50:D51"/>
    <mergeCell ref="E50:F51"/>
    <mergeCell ref="G50:G51"/>
    <mergeCell ref="H50:I51"/>
    <mergeCell ref="J50:J51"/>
    <mergeCell ref="E25:F25"/>
    <mergeCell ref="J25:K25"/>
    <mergeCell ref="I31:J31"/>
    <mergeCell ref="H32:J32"/>
    <mergeCell ref="G35:H35"/>
    <mergeCell ref="K35:L35"/>
    <mergeCell ref="E13:F13"/>
    <mergeCell ref="D16:D17"/>
    <mergeCell ref="E16:F16"/>
    <mergeCell ref="G16:G17"/>
    <mergeCell ref="H16:H17"/>
    <mergeCell ref="I16:J17"/>
    <mergeCell ref="E17:F17"/>
  </mergeCells>
  <pageMargins left="0.75" right="0.75" top="1" bottom="1" header="0.5" footer="0.5"/>
  <ignoredErrors>
    <ignoredError numberStoredAsText="1" sqref="A1:P97"/>
  </ignoredErrors>
</worksheet>
</file>

<file path=xl/worksheets/sheet28.xml><?xml version="1.0" encoding="utf-8"?>
<worksheet xmlns="http://schemas.openxmlformats.org/spreadsheetml/2006/main" xmlns:r="http://schemas.openxmlformats.org/officeDocument/2006/relationships">
  <dimension ref="A1:J144"/>
  <sheetViews>
    <sheetView workbookViewId="0" rightToLeft="0"/>
  </sheetViews>
  <cols>
    <col min="1" max="1" customWidth="1" width="49"/>
  </cols>
  <sheetData>
    <row r="1">
      <c r="A1" t="s">
        <v>1228</v>
      </c>
    </row>
    <row r="2">
      <c r="A2" t="s">
        <v>1229</v>
      </c>
      <c r="B2">
        <v>925</v>
      </c>
      <c r="C2" t="s">
        <v>230</v>
      </c>
    </row>
    <row r="3">
      <c r="A3" t="s">
        <v>1230</v>
      </c>
      <c r="B3">
        <v>75</v>
      </c>
      <c r="C3" t="s">
        <v>230</v>
      </c>
    </row>
    <row r="4">
      <c r="A4" t="s">
        <v>1231</v>
      </c>
      <c r="B4">
        <v>25</v>
      </c>
      <c r="C4" t="s">
        <v>230</v>
      </c>
    </row>
    <row r="5">
      <c r="A5" t="s">
        <v>1232</v>
      </c>
      <c r="B5">
        <v>25</v>
      </c>
      <c r="C5" t="s">
        <v>230</v>
      </c>
    </row>
    <row r="6">
      <c r="A6" t="s">
        <v>1233</v>
      </c>
      <c r="B6">
        <f>B2</f>
        <v>925</v>
      </c>
      <c r="C6" t="s">
        <v>136</v>
      </c>
      <c r="D6">
        <f>B5</f>
        <v>25</v>
      </c>
      <c r="E6" t="s">
        <v>136</v>
      </c>
      <c r="F6">
        <f>B5</f>
        <v>25</v>
      </c>
      <c r="G6" t="s">
        <v>960</v>
      </c>
      <c r="H6">
        <f>B2-B5-B4/2</f>
        <v>887.5</v>
      </c>
      <c r="I6" t="s">
        <v>230</v>
      </c>
    </row>
    <row r="7">
      <c r="A7" t="s">
        <v>1234</v>
      </c>
      <c r="B7">
        <v>10</v>
      </c>
      <c r="C7" t="s">
        <v>85</v>
      </c>
    </row>
    <row r="8">
      <c r="A8" t="s">
        <v>1235</v>
      </c>
    </row>
    <row r="9">
      <c r="A9" t="s">
        <v>1236</v>
      </c>
      <c r="B9">
        <f>B2/1000</f>
        <v>0.925</v>
      </c>
      <c r="C9" t="s">
        <v>91</v>
      </c>
      <c r="D9">
        <v>2.4</v>
      </c>
      <c r="E9" t="s">
        <v>53</v>
      </c>
      <c r="F9">
        <f>B9*D9</f>
        <v>2.22</v>
      </c>
      <c r="G9" t="s">
        <v>1237</v>
      </c>
    </row>
    <row r="10">
      <c r="A10" t="s">
        <v>1238</v>
      </c>
      <c r="B10">
        <v>0.075</v>
      </c>
      <c r="C10" t="s">
        <v>91</v>
      </c>
      <c r="D10">
        <v>2.4</v>
      </c>
      <c r="E10" t="s">
        <v>53</v>
      </c>
      <c r="F10">
        <f>B10*D10</f>
        <v>0.18</v>
      </c>
      <c r="G10" t="s">
        <v>1237</v>
      </c>
    </row>
    <row r="11">
      <c r="A11" t="s">
        <v>1239</v>
      </c>
      <c r="F11">
        <f>SUM(F9:F10)</f>
        <v>2.4000000000000004</v>
      </c>
      <c r="G11" t="s">
        <v>1237</v>
      </c>
    </row>
    <row r="12">
      <c r="A12" t="s">
        <v>1240</v>
      </c>
      <c r="B12" t="s">
        <f>CONCATENATE(F11,"x",B7,"x",B7,"/8 =")</f>
        <v>1241</v>
      </c>
      <c r="F12" s="1">
        <f>F11*B7^2/8</f>
        <v>30.000000000000004</v>
      </c>
      <c r="G12" t="s">
        <v>890</v>
      </c>
    </row>
    <row r="13"/>
    <row r="14">
      <c r="A14" t="s">
        <v>581</v>
      </c>
    </row>
    <row r="15">
      <c r="A15" t="s">
        <v>582</v>
      </c>
    </row>
    <row r="16">
      <c r="A16" t="s">
        <v>583</v>
      </c>
    </row>
    <row r="17">
      <c r="A17" t="s">
        <v>585</v>
      </c>
    </row>
    <row r="18">
      <c r="A18" t="s">
        <f>CONCATENATE("= ",3.6,"+2(",B3/1000,"+",B2/1000,")=")</f>
        <v>1242</v>
      </c>
      <c r="B18" t="s">
        <v>53</v>
      </c>
      <c r="C18" s="1">
        <f>3.6+(B2+B3)/500</f>
        <v>5.6</v>
      </c>
      <c r="D18" t="s">
        <v>85</v>
      </c>
    </row>
    <row r="19"/>
    <row r="20">
      <c r="A20" t="s">
        <v>588</v>
      </c>
    </row>
    <row r="21">
      <c r="A21" t="s">
        <v>1243</v>
      </c>
    </row>
    <row r="22">
      <c r="A22" t="s">
        <v>1244</v>
      </c>
    </row>
    <row r="23">
      <c r="B23" t="s">
        <v>592</v>
      </c>
    </row>
    <row r="24">
      <c r="B24" t="s">
        <v>593</v>
      </c>
    </row>
    <row r="25">
      <c r="B25" t="s">
        <v>594</v>
      </c>
    </row>
    <row r="26">
      <c r="B26" t="s">
        <v>595</v>
      </c>
    </row>
    <row r="27">
      <c r="B27" t="s">
        <v>596</v>
      </c>
    </row>
    <row r="28">
      <c r="A28" t="s">
        <v>1245</v>
      </c>
    </row>
    <row r="29">
      <c r="A29" t="s">
        <v>1246</v>
      </c>
      <c r="B29" t="s">
        <v>53</v>
      </c>
      <c r="C29" s="1">
        <v>7.5</v>
      </c>
      <c r="D29" t="s">
        <v>85</v>
      </c>
    </row>
    <row r="30">
      <c r="A30" t="s">
        <v>1247</v>
      </c>
      <c r="B30" t="s">
        <v>53</v>
      </c>
      <c r="C30" s="1">
        <v>10</v>
      </c>
      <c r="D30" t="s">
        <v>85</v>
      </c>
    </row>
    <row r="31">
      <c r="A31" t="s">
        <v>1248</v>
      </c>
      <c r="B31" t="s">
        <v>53</v>
      </c>
      <c r="C31">
        <f>ROUND(C29/C30,2)</f>
        <v>0.75</v>
      </c>
    </row>
    <row r="32">
      <c r="A32" t="s">
        <v>1249</v>
      </c>
      <c r="B32" t="s">
        <v>586</v>
      </c>
      <c r="C32">
        <v>2.4</v>
      </c>
    </row>
    <row r="33">
      <c r="A33" t="s">
        <v>1250</v>
      </c>
      <c r="B33" t="s">
        <v>1251</v>
      </c>
      <c r="D33" s="1">
        <v>1</v>
      </c>
      <c r="E33" t="s">
        <v>85</v>
      </c>
    </row>
    <row r="34">
      <c r="A34" t="s">
        <v>91</v>
      </c>
      <c r="B34" t="s">
        <v>53</v>
      </c>
      <c r="C34" t="s">
        <v>1252</v>
      </c>
      <c r="D34" t="s">
        <v>53</v>
      </c>
      <c r="E34" s="1">
        <f>C30</f>
        <v>10</v>
      </c>
      <c r="F34" t="s">
        <v>960</v>
      </c>
      <c r="G34" s="1">
        <f>E34/2</f>
        <v>5</v>
      </c>
      <c r="H34" t="s">
        <v>85</v>
      </c>
    </row>
    <row r="35">
      <c r="A35" t="s">
        <v>1253</v>
      </c>
      <c r="B35" t="s">
        <v>53</v>
      </c>
      <c r="C35" s="1">
        <f>C32*(1-G34/C30)+D33</f>
        <v>2.2</v>
      </c>
      <c r="D35" t="s">
        <v>85</v>
      </c>
    </row>
    <row r="36">
      <c r="A36" t="s">
        <v>610</v>
      </c>
    </row>
    <row r="37">
      <c r="A37" t="s">
        <v>611</v>
      </c>
    </row>
    <row r="38">
      <c r="A38" t="s">
        <v>1254</v>
      </c>
    </row>
    <row r="39">
      <c r="A39" t="s">
        <v>1255</v>
      </c>
    </row>
    <row r="40">
      <c r="B40" t="s">
        <v>1256</v>
      </c>
    </row>
    <row r="41">
      <c r="A41" t="s">
        <v>1257</v>
      </c>
      <c r="H41">
        <f>1.925+3.825</f>
        <v>5.75</v>
      </c>
    </row>
    <row r="43">
      <c r="A43" t="s">
        <v>1258</v>
      </c>
      <c r="B43" t="s">
        <v>53</v>
      </c>
      <c r="C43">
        <f>2.05+1.93+2.8</f>
        <v>6.779999999999999</v>
      </c>
      <c r="D43" t="s">
        <v>92</v>
      </c>
    </row>
    <row r="44">
      <c r="A44" t="s">
        <v>620</v>
      </c>
    </row>
    <row r="45">
      <c r="A45" t="s">
        <v>1259</v>
      </c>
      <c r="B45" t="s">
        <v>1260</v>
      </c>
    </row>
    <row r="46">
      <c r="B46" t="s">
        <v>53</v>
      </c>
      <c r="C46">
        <f>ROUNDUP(70*1.1375,2)</f>
        <v>79.63000000000001</v>
      </c>
      <c r="D46" t="s">
        <v>630</v>
      </c>
    </row>
    <row r="47">
      <c r="A47" t="s">
        <v>1261</v>
      </c>
      <c r="B47" t="s">
        <v>53</v>
      </c>
      <c r="C47">
        <f>C46</f>
        <v>79.63000000000001</v>
      </c>
      <c r="D47" t="s">
        <v>1262</v>
      </c>
      <c r="E47" s="1">
        <f>C35</f>
        <v>2.2</v>
      </c>
      <c r="F47" t="s">
        <v>91</v>
      </c>
      <c r="G47" s="1">
        <f>C43</f>
        <v>6.779999999999999</v>
      </c>
      <c r="H47" t="s">
        <v>1263</v>
      </c>
    </row>
    <row r="48">
      <c r="B48" t="s">
        <v>53</v>
      </c>
      <c r="C48">
        <f>ROUND(C46/(E47*G47),2)</f>
        <v>5.34</v>
      </c>
      <c r="D48" t="s">
        <v>630</v>
      </c>
    </row>
    <row r="49">
      <c r="A49" t="s">
        <v>632</v>
      </c>
    </row>
    <row r="51">
      <c r="A51" t="s">
        <v>1264</v>
      </c>
    </row>
    <row r="53">
      <c r="A53" t="s">
        <v>1265</v>
      </c>
      <c r="B53">
        <v>5.6</v>
      </c>
      <c r="C53" t="s">
        <v>1266</v>
      </c>
      <c r="D53">
        <v>5.6</v>
      </c>
      <c r="E53" t="s">
        <v>105</v>
      </c>
    </row>
    <row r="54">
      <c r="B54">
        <v>2</v>
      </c>
      <c r="D54">
        <v>5</v>
      </c>
    </row>
    <row r="55"/>
    <row r="56">
      <c r="A56" t="s">
        <v>1267</v>
      </c>
      <c r="B56" s="1">
        <f>ROUND(C48*C18/2*(C30-C18/5),2)</f>
        <v>132.77</v>
      </c>
      <c r="C56" t="s">
        <v>1268</v>
      </c>
    </row>
    <row r="57">
      <c r="A57" t="s">
        <v>1269</v>
      </c>
    </row>
    <row r="59">
      <c r="A59" t="s">
        <v>1270</v>
      </c>
    </row>
    <row r="60">
      <c r="A60" t="s">
        <v>1271</v>
      </c>
    </row>
    <row r="62">
      <c r="A62" t="s">
        <v>633</v>
      </c>
    </row>
    <row r="63">
      <c r="A63" t="s">
        <v>634</v>
      </c>
      <c r="B63" t="s">
        <v>635</v>
      </c>
    </row>
    <row r="64"/>
    <row r="65">
      <c r="A65" t="s">
        <v>1272</v>
      </c>
      <c r="B65" t="s">
        <v>637</v>
      </c>
    </row>
    <row r="66"/>
    <row r="67">
      <c r="A67" t="s">
        <v>1273</v>
      </c>
      <c r="B67" t="s">
        <v>639</v>
      </c>
    </row>
    <row r="68"/>
    <row r="69">
      <c r="A69" t="s">
        <v>640</v>
      </c>
      <c r="B69" t="s">
        <v>641</v>
      </c>
    </row>
    <row r="70"/>
    <row r="71">
      <c r="A71" t="s">
        <v>642</v>
      </c>
      <c r="B71" t="s">
        <v>643</v>
      </c>
      <c r="C71" t="s">
        <v>644</v>
      </c>
    </row>
    <row r="72">
      <c r="A72" t="s">
        <v>645</v>
      </c>
    </row>
    <row r="73">
      <c r="A73" t="s">
        <v>1274</v>
      </c>
      <c r="B73" t="s">
        <v>53</v>
      </c>
      <c r="C73">
        <v>1.8</v>
      </c>
      <c r="D73" t="s">
        <v>85</v>
      </c>
    </row>
    <row r="75">
      <c r="A75" t="s">
        <v>1275</v>
      </c>
    </row>
    <row r="76">
      <c r="A76" t="s">
        <v>648</v>
      </c>
    </row>
    <row r="78">
      <c r="A78" t="s">
        <v>649</v>
      </c>
      <c r="D78" t="s">
        <v>650</v>
      </c>
    </row>
    <row r="79">
      <c r="A79" t="s">
        <v>651</v>
      </c>
      <c r="D79" t="s">
        <v>652</v>
      </c>
    </row>
    <row r="80"/>
    <row r="81">
      <c r="A81" t="s">
        <v>1276</v>
      </c>
      <c r="C81" t="s">
        <v>148</v>
      </c>
      <c r="D81">
        <v>1.8</v>
      </c>
    </row>
    <row r="82"/>
    <row r="83">
      <c r="A83" t="s">
        <v>1277</v>
      </c>
      <c r="B83" t="s">
        <v>655</v>
      </c>
    </row>
    <row r="84">
      <c r="A84" t="s">
        <v>1278</v>
      </c>
    </row>
    <row r="86">
      <c r="A86" t="s">
        <v>1279</v>
      </c>
    </row>
    <row r="88">
      <c r="A88" t="s">
        <v>1280</v>
      </c>
    </row>
    <row r="89"/>
    <row r="90">
      <c r="A90" t="s">
        <v>1281</v>
      </c>
    </row>
    <row r="91"/>
    <row r="92">
      <c r="A92" t="s">
        <v>1282</v>
      </c>
      <c r="B92" t="s">
        <v>1283</v>
      </c>
      <c r="C92" t="s">
        <v>1284</v>
      </c>
    </row>
    <row r="93">
      <c r="J93">
        <f>(2.4*4)*(1-4/8)</f>
        <v>4.8</v>
      </c>
    </row>
    <row r="94">
      <c r="A94" t="s">
        <v>1285</v>
      </c>
      <c r="B94" t="s">
        <v>1286</v>
      </c>
      <c r="D94" t="s">
        <v>1287</v>
      </c>
    </row>
    <row r="95"/>
    <row r="96">
      <c r="A96" t="s">
        <v>1288</v>
      </c>
      <c r="B96" t="s">
        <v>1289</v>
      </c>
      <c r="E96">
        <v>0.45</v>
      </c>
      <c r="F96" t="s">
        <v>92</v>
      </c>
    </row>
    <row r="98">
      <c r="A98" t="s">
        <v>1290</v>
      </c>
      <c r="B98" t="s">
        <v>83</v>
      </c>
      <c r="C98">
        <f>2.4*G34*(1-G34/C30)+E96</f>
        <v>6.45</v>
      </c>
      <c r="D98" t="s">
        <v>92</v>
      </c>
      <c r="F98" t="s">
        <v>1291</v>
      </c>
    </row>
    <row r="100">
      <c r="A100" t="s">
        <v>1292</v>
      </c>
    </row>
    <row r="102">
      <c r="A102" t="s">
        <v>1293</v>
      </c>
    </row>
    <row r="104">
      <c r="A104" t="s">
        <v>1294</v>
      </c>
    </row>
    <row r="106">
      <c r="A106" t="s">
        <v>1295</v>
      </c>
    </row>
    <row r="107">
      <c r="A107" t="s">
        <v>1296</v>
      </c>
    </row>
    <row r="108">
      <c r="A108" t="s">
        <v>1297</v>
      </c>
    </row>
    <row r="109">
      <c r="A109" t="s">
        <v>1298</v>
      </c>
    </row>
    <row r="111">
      <c r="A111" t="s">
        <v>1299</v>
      </c>
      <c r="B111" t="s">
        <v>1300</v>
      </c>
      <c r="C111" t="s">
        <v>1301</v>
      </c>
      <c r="E111">
        <v>6.45</v>
      </c>
    </row>
    <row r="112">
      <c r="B112">
        <v>2</v>
      </c>
      <c r="E112">
        <v>2</v>
      </c>
    </row>
    <row r="114">
      <c r="A114" t="s">
        <v>1299</v>
      </c>
      <c r="B114" t="s">
        <v>1302</v>
      </c>
    </row>
    <row r="116">
      <c r="A116" t="s">
        <v>53</v>
      </c>
      <c r="B116">
        <f>2.2+3.225+1.655</f>
        <v>7.080000000000001</v>
      </c>
      <c r="C116" t="s">
        <v>85</v>
      </c>
    </row>
    <row r="117">
      <c r="A117" t="s">
        <v>1303</v>
      </c>
    </row>
    <row r="118">
      <c r="A118" t="s">
        <v>1304</v>
      </c>
      <c r="B118" t="s">
        <v>609</v>
      </c>
      <c r="C118">
        <v>1.25</v>
      </c>
    </row>
    <row r="119">
      <c r="A119" t="s">
        <v>1305</v>
      </c>
    </row>
    <row r="120">
      <c r="A120" t="s">
        <v>1306</v>
      </c>
    </row>
    <row r="121">
      <c r="A121" t="s">
        <v>1307</v>
      </c>
    </row>
    <row r="122"/>
    <row r="123">
      <c r="A123" t="s">
        <v>1308</v>
      </c>
      <c r="C123" t="s">
        <v>1309</v>
      </c>
    </row>
    <row r="124">
      <c r="C124" t="s">
        <v>1310</v>
      </c>
    </row>
    <row r="125">
      <c r="A125" t="s">
        <v>1267</v>
      </c>
      <c r="B125" t="s">
        <v>1311</v>
      </c>
    </row>
    <row r="126">
      <c r="B126" t="s">
        <v>1312</v>
      </c>
    </row>
    <row r="127"/>
    <row r="128">
      <c r="A128" t="s">
        <v>1267</v>
      </c>
      <c r="B128">
        <f>ROUND(50/(3*B116),2)</f>
        <v>2.35</v>
      </c>
      <c r="C128" t="s">
        <v>625</v>
      </c>
    </row>
    <row r="129">
      <c r="A129" t="s">
        <v>1292</v>
      </c>
    </row>
    <row r="130">
      <c r="A130" t="s">
        <v>1313</v>
      </c>
    </row>
    <row r="131">
      <c r="A131" t="s">
        <v>1314</v>
      </c>
      <c r="B131">
        <v>7.08</v>
      </c>
      <c r="C131" t="s">
        <v>1266</v>
      </c>
      <c r="D131">
        <v>7.08</v>
      </c>
      <c r="E131" t="s">
        <v>105</v>
      </c>
    </row>
    <row r="132">
      <c r="B132">
        <v>2</v>
      </c>
      <c r="D132">
        <v>5</v>
      </c>
    </row>
    <row r="133"/>
    <row r="134">
      <c r="A134" t="s">
        <v>1267</v>
      </c>
      <c r="B134" s="1">
        <f>B128*B116/2*(C30-B116/G34)</f>
        <v>71.410296</v>
      </c>
      <c r="C134" t="s">
        <v>1268</v>
      </c>
    </row>
    <row r="136">
      <c r="A136" t="s">
        <v>1315</v>
      </c>
      <c r="B136" t="s">
        <v>1316</v>
      </c>
    </row>
    <row r="137">
      <c r="A137">
        <v>2</v>
      </c>
      <c r="B137">
        <v>2</v>
      </c>
    </row>
    <row r="139">
      <c r="A139" t="s">
        <v>53</v>
      </c>
    </row>
    <row r="140">
      <c r="A140" t="s">
        <v>1317</v>
      </c>
    </row>
    <row r="141">
      <c r="A141" t="s">
        <v>1318</v>
      </c>
      <c r="C141" s="1">
        <f>B56</f>
        <v>132.77</v>
      </c>
      <c r="D141" t="s">
        <v>1268</v>
      </c>
    </row>
    <row r="142">
      <c r="A142" t="s">
        <v>1319</v>
      </c>
      <c r="C142" t="s">
        <v>1320</v>
      </c>
    </row>
    <row r="143">
      <c r="B143" t="s">
        <v>1282</v>
      </c>
      <c r="C143" s="1">
        <f>F12</f>
        <v>30.000000000000004</v>
      </c>
      <c r="D143" t="s">
        <v>148</v>
      </c>
      <c r="E143" s="1">
        <f>C141</f>
        <v>132.77</v>
      </c>
    </row>
    <row r="144">
      <c r="B144" t="s">
        <v>1282</v>
      </c>
      <c r="C144">
        <f>C143+E143</f>
        <v>162.77</v>
      </c>
      <c r="D144" t="s">
        <v>890</v>
      </c>
    </row>
  </sheetData>
  <mergeCells count="8">
    <mergeCell ref="C131:C132"/>
    <mergeCell ref="E131:E132"/>
    <mergeCell ref="D11:E11"/>
    <mergeCell ref="B12:E12"/>
    <mergeCell ref="C53:C54"/>
    <mergeCell ref="E53:E54"/>
    <mergeCell ref="B125:C125"/>
    <mergeCell ref="B126:C126"/>
  </mergeCells>
  <pageMargins left="0.75" right="0.75" top="1" bottom="1" header="0.5" footer="0.5"/>
  <ignoredErrors>
    <ignoredError numberStoredAsText="1" sqref="A1:J144"/>
  </ignoredErrors>
</worksheet>
</file>

<file path=xl/worksheets/sheet29.xml><?xml version="1.0" encoding="utf-8"?>
<worksheet xmlns="http://schemas.openxmlformats.org/spreadsheetml/2006/main" xmlns:r="http://schemas.openxmlformats.org/officeDocument/2006/relationships">
  <dimension ref="A3:S56"/>
  <sheetViews>
    <sheetView workbookViewId="0" rightToLeft="0"/>
  </sheetViews>
  <cols>
    <col min="1" max="1" customWidth="1" width="9.42578125"/>
    <col min="2" max="2" customWidth="1" width="9.140625"/>
    <col min="3" max="3" customWidth="1" width="9.140625"/>
    <col min="4" max="4" customWidth="1" width="9.140625"/>
    <col min="5" max="5" customWidth="1" width="9.140625"/>
    <col min="6" max="6" customWidth="1" width="9.140625"/>
    <col min="7" max="7" customWidth="1" width="9.140625"/>
    <col min="8" max="8" customWidth="1" width="9.140625"/>
    <col min="9" max="9" customWidth="1" width="9.140625"/>
    <col min="10" max="10" customWidth="1" width="9.140625" hidden="true"/>
    <col min="11" max="11" customWidth="1" width="9.140625" hidden="true"/>
    <col min="12" max="12" customWidth="1" width="9.140625" hidden="true"/>
    <col min="13" max="13" customWidth="1" width="9.42578125" hidden="true"/>
    <col min="14" max="14" customWidth="1" width="9.140625" hidden="true"/>
    <col min="15" max="15" customWidth="1" width="9.140625" hidden="true"/>
    <col min="16" max="16" customWidth="1" width="9.140625" hidden="true"/>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3">
      <c r="A3" t="s">
        <v>0</v>
      </c>
    </row>
    <row r="5">
      <c r="A5" t="s">
        <v>1321</v>
      </c>
    </row>
    <row r="7">
      <c r="A7" t="s">
        <v>1322</v>
      </c>
      <c r="K7" t="s">
        <v>1323</v>
      </c>
      <c r="L7" t="s">
        <v>1324</v>
      </c>
      <c r="M7" t="s">
        <v>1325</v>
      </c>
    </row>
    <row r="8" ht="44.25" customHeight="1">
      <c r="A8" t="s">
        <v>1326</v>
      </c>
      <c r="K8" t="s">
        <v>1327</v>
      </c>
      <c r="L8" s="2">
        <v>442.5</v>
      </c>
      <c r="M8">
        <v>442.63</v>
      </c>
    </row>
    <row r="9" ht="44.25" customHeight="1">
      <c r="A9" t="s">
        <v>1328</v>
      </c>
    </row>
    <row r="10">
      <c r="A10" t="s">
        <v>1329</v>
      </c>
    </row>
    <row r="12" ht="79.5" customHeight="1">
      <c r="A12" t="s">
        <v>1330</v>
      </c>
      <c r="K12" t="s">
        <v>1331</v>
      </c>
      <c r="L12" t="s">
        <v>85</v>
      </c>
    </row>
    <row r="13" ht="39.75" customHeight="1">
      <c r="A13" t="s">
        <v>1332</v>
      </c>
      <c r="K13">
        <v>12</v>
      </c>
      <c r="L13">
        <v>10.8</v>
      </c>
    </row>
    <row r="14" ht="71.25" customHeight="1">
      <c r="A14" t="s">
        <v>1333</v>
      </c>
      <c r="K14" t="s">
        <v>1179</v>
      </c>
      <c r="L14">
        <v>10</v>
      </c>
      <c r="M14" t="s">
        <v>1334</v>
      </c>
      <c r="N14" t="s">
        <v>1335</v>
      </c>
    </row>
    <row r="15" ht="66.75" customHeight="1">
      <c r="A15" t="s">
        <v>1336</v>
      </c>
    </row>
    <row r="16" ht="21.75" customHeight="1">
      <c r="A16" t="s">
        <v>1337</v>
      </c>
    </row>
    <row r="17" ht="25.5" customHeight="1">
      <c r="A17" t="s">
        <v>1338</v>
      </c>
      <c r="K17" t="s">
        <v>1339</v>
      </c>
      <c r="L17" t="s">
        <v>1340</v>
      </c>
      <c r="N17" t="s">
        <v>1340</v>
      </c>
    </row>
    <row r="18" ht="39" customHeight="1">
      <c r="A18" t="s">
        <v>1341</v>
      </c>
    </row>
    <row r="19" ht="66" customHeight="1">
      <c r="A19" t="s">
        <v>1342</v>
      </c>
      <c r="K19" t="s">
        <v>1343</v>
      </c>
      <c r="L19">
        <v>1200</v>
      </c>
      <c r="M19">
        <v>9600</v>
      </c>
      <c r="N19">
        <v>10800</v>
      </c>
    </row>
    <row r="20" ht="39" customHeight="1">
      <c r="A20" t="s">
        <v>1344</v>
      </c>
    </row>
    <row r="21"/>
    <row r="22" ht="36" customHeight="1">
      <c r="A22" t="s">
        <v>1345</v>
      </c>
    </row>
    <row r="23">
      <c r="A23" t="s">
        <v>1346</v>
      </c>
    </row>
    <row r="24">
      <c r="A24" t="s">
        <v>1347</v>
      </c>
    </row>
    <row r="25">
      <c r="B25" t="s">
        <v>1348</v>
      </c>
    </row>
    <row r="26">
      <c r="B26" t="s">
        <v>1349</v>
      </c>
    </row>
    <row r="27">
      <c r="B27" t="s">
        <v>1350</v>
      </c>
    </row>
    <row r="28">
      <c r="B28" t="s">
        <v>1351</v>
      </c>
    </row>
    <row r="29">
      <c r="B29" t="s">
        <v>1352</v>
      </c>
    </row>
    <row r="30">
      <c r="B30" t="s">
        <v>1353</v>
      </c>
    </row>
    <row r="31">
      <c r="B31" t="s">
        <v>1354</v>
      </c>
    </row>
    <row r="32"/>
    <row r="33">
      <c r="B33" t="s">
        <v>1355</v>
      </c>
    </row>
    <row r="34">
      <c r="A34" t="s">
        <v>1356</v>
      </c>
    </row>
    <row r="35">
      <c r="B35" t="s">
        <v>1357</v>
      </c>
    </row>
    <row r="36">
      <c r="B36" t="s">
        <v>1358</v>
      </c>
    </row>
    <row r="37"/>
    <row r="38">
      <c r="A38" t="s">
        <v>1359</v>
      </c>
    </row>
    <row r="39" ht="35.25" customHeight="1">
      <c r="B39" t="s">
        <v>1360</v>
      </c>
    </row>
    <row r="40" ht="36.75" customHeight="1">
      <c r="B40" t="s">
        <v>1361</v>
      </c>
    </row>
    <row r="41" ht="54.75" customHeight="1">
      <c r="B41" t="s">
        <v>1362</v>
      </c>
      <c r="L41">
        <v>3</v>
      </c>
      <c r="M41" s="1">
        <v>200</v>
      </c>
    </row>
    <row r="42">
      <c r="A42" t="s">
        <v>1363</v>
      </c>
    </row>
    <row r="43" ht="55.5" customHeight="1">
      <c r="B43" t="s">
        <v>1364</v>
      </c>
      <c r="L43" s="1">
        <v>6.31</v>
      </c>
    </row>
    <row r="44">
      <c r="A44" t="s">
        <v>1365</v>
      </c>
    </row>
    <row r="45" ht="80.25" customHeight="1">
      <c r="B45" t="s">
        <v>1366</v>
      </c>
      <c r="K45" t="s">
        <v>258</v>
      </c>
      <c r="L45" t="s">
        <v>259</v>
      </c>
    </row>
    <row r="46">
      <c r="A46" t="s">
        <v>1367</v>
      </c>
    </row>
    <row r="47" ht="24.75" customHeight="1">
      <c r="B47" t="s">
        <v>1368</v>
      </c>
    </row>
    <row r="48" ht="47.25" customHeight="1">
      <c r="B48" t="s">
        <v>1369</v>
      </c>
    </row>
    <row r="49" ht="74.25" customHeight="1">
      <c r="B49" t="s">
        <v>1370</v>
      </c>
    </row>
    <row r="50" ht="52.5" customHeight="1">
      <c r="B50" t="s">
        <v>1371</v>
      </c>
    </row>
    <row r="51">
      <c r="A51" t="s">
        <v>1372</v>
      </c>
    </row>
    <row r="52" ht="37.5" customHeight="1">
      <c r="B52" t="s">
        <v>1373</v>
      </c>
    </row>
    <row r="53">
      <c r="A53" t="s">
        <v>931</v>
      </c>
    </row>
    <row r="54" ht="53.25" customHeight="1">
      <c r="B54" t="s">
        <v>1374</v>
      </c>
    </row>
    <row r="55">
      <c r="A55" t="s">
        <v>1375</v>
      </c>
    </row>
    <row r="56" ht="32.25" customHeight="1">
      <c r="B56" t="s">
        <v>1376</v>
      </c>
    </row>
  </sheetData>
  <mergeCells count="39">
    <mergeCell ref="A3:I3"/>
    <mergeCell ref="A5:I5"/>
    <mergeCell ref="A8:I8"/>
    <mergeCell ref="A9:I9"/>
    <mergeCell ref="A12:I12"/>
    <mergeCell ref="A13:I13"/>
    <mergeCell ref="A14:I14"/>
    <mergeCell ref="A15:I15"/>
    <mergeCell ref="A16:I16"/>
    <mergeCell ref="A17:I17"/>
    <mergeCell ref="A18:I18"/>
    <mergeCell ref="A19:I19"/>
    <mergeCell ref="A20:I20"/>
    <mergeCell ref="J20:Q20"/>
    <mergeCell ref="J21:Q21"/>
    <mergeCell ref="A22:I22"/>
    <mergeCell ref="J22:Q22"/>
    <mergeCell ref="J23:Q23"/>
    <mergeCell ref="A24:I24"/>
    <mergeCell ref="B26:I26"/>
    <mergeCell ref="B27:I27"/>
    <mergeCell ref="B28:I28"/>
    <mergeCell ref="B29:I29"/>
    <mergeCell ref="B30:I30"/>
    <mergeCell ref="B31:I31"/>
    <mergeCell ref="B33:I33"/>
    <mergeCell ref="B39:I39"/>
    <mergeCell ref="B40:I40"/>
    <mergeCell ref="B41:I41"/>
    <mergeCell ref="B43:I43"/>
    <mergeCell ref="B52:I52"/>
    <mergeCell ref="B54:I54"/>
    <mergeCell ref="B56:I56"/>
    <mergeCell ref="B45:I45"/>
    <mergeCell ref="A46:I46"/>
    <mergeCell ref="B47:I47"/>
    <mergeCell ref="B48:I48"/>
    <mergeCell ref="B49:I49"/>
    <mergeCell ref="B50:I50"/>
  </mergeCells>
  <pageMargins left="0.7086614173228347" right="0.7086614173228347" top="0.7480314960629921" bottom="0.7480314960629921" header="0.31496062992125984" footer="0.31496062992125984"/>
  <ignoredErrors>
    <ignoredError numberStoredAsText="1" sqref="A3:S56"/>
  </ignoredErrors>
</worksheet>
</file>

<file path=xl/worksheets/sheet30.xml><?xml version="1.0" encoding="utf-8"?>
<worksheet xmlns="http://schemas.openxmlformats.org/spreadsheetml/2006/main" xmlns:r="http://schemas.openxmlformats.org/officeDocument/2006/relationships">
  <dimension ref="A1:B29"/>
  <sheetViews>
    <sheetView workbookViewId="0" rightToLeft="0"/>
  </sheetViews>
  <sheetData>
    <row r="1" ht="30" customHeight="1">
      <c r="A1" t="s">
        <v>1377</v>
      </c>
    </row>
    <row r="2" ht="30" customHeight="1"/>
    <row r="3" ht="30" customHeight="1">
      <c r="A3" t="s">
        <v>1378</v>
      </c>
    </row>
    <row r="5">
      <c r="A5" t="s">
        <v>1379</v>
      </c>
    </row>
    <row r="6">
      <c r="A6" t="s">
        <v>1380</v>
      </c>
    </row>
    <row r="8">
      <c r="A8" t="s">
        <v>1381</v>
      </c>
    </row>
    <row r="9">
      <c r="A9" t="s">
        <v>1382</v>
      </c>
      <c r="B9">
        <v>7.2</v>
      </c>
    </row>
    <row r="10">
      <c r="A10" t="s">
        <v>36</v>
      </c>
      <c r="B10">
        <v>12.5</v>
      </c>
    </row>
    <row r="11">
      <c r="A11" t="s">
        <v>1383</v>
      </c>
      <c r="B11">
        <v>3.5</v>
      </c>
    </row>
    <row r="12">
      <c r="A12" t="s">
        <v>1384</v>
      </c>
      <c r="B12">
        <v>16</v>
      </c>
    </row>
    <row r="13">
      <c r="A13" t="s">
        <v>1385</v>
      </c>
      <c r="B13">
        <v>14.5</v>
      </c>
    </row>
    <row r="15">
      <c r="A15" t="s">
        <v>1386</v>
      </c>
    </row>
    <row r="16">
      <c r="A16" t="s">
        <v>1382</v>
      </c>
      <c r="B16">
        <v>6.5</v>
      </c>
    </row>
    <row r="17">
      <c r="A17" t="s">
        <v>1387</v>
      </c>
      <c r="B17">
        <v>0.9</v>
      </c>
    </row>
    <row r="19">
      <c r="A19" t="s">
        <v>1388</v>
      </c>
    </row>
    <row r="20">
      <c r="A20" t="s">
        <v>1389</v>
      </c>
      <c r="B20">
        <v>287.3</v>
      </c>
    </row>
    <row r="21">
      <c r="A21" t="s">
        <v>1390</v>
      </c>
      <c r="B21">
        <v>234.5</v>
      </c>
    </row>
    <row r="22">
      <c r="A22" t="s">
        <v>1391</v>
      </c>
      <c r="B22">
        <v>32.1</v>
      </c>
    </row>
    <row r="24">
      <c r="A24" t="s">
        <v>1392</v>
      </c>
    </row>
    <row r="25">
      <c r="A25" t="s">
        <v>1393</v>
      </c>
      <c r="B25">
        <v>48.6</v>
      </c>
    </row>
    <row r="26">
      <c r="A26" t="s">
        <v>1394</v>
      </c>
      <c r="B26">
        <v>942.7</v>
      </c>
    </row>
    <row r="27">
      <c r="A27" t="s">
        <v>1395</v>
      </c>
      <c r="B27">
        <v>2.5</v>
      </c>
    </row>
    <row r="28">
      <c r="A28" t="s">
        <v>1396</v>
      </c>
      <c r="B28">
        <v>3.2</v>
      </c>
    </row>
    <row r="29">
      <c r="A29" t="s">
        <v>1397</v>
      </c>
      <c r="B29">
        <v>3</v>
      </c>
    </row>
  </sheetData>
  <pageMargins left="0.7086614173228347" right="0.7086614173228347" top="0.7480314960629921" bottom="0.7480314960629921" header="0.31496062992125984" footer="0.31496062992125984"/>
  <ignoredErrors>
    <ignoredError numberStoredAsText="1" sqref="A1:B29"/>
  </ignoredErrors>
</worksheet>
</file>

<file path=xl/worksheets/sheet31.xml><?xml version="1.0" encoding="utf-8"?>
<worksheet xmlns="http://schemas.openxmlformats.org/spreadsheetml/2006/main" xmlns:r="http://schemas.openxmlformats.org/officeDocument/2006/relationships">
  <dimension ref="A1:AH35"/>
  <sheetViews>
    <sheetView workbookViewId="0" rightToLeft="0"/>
  </sheetViews>
  <cols>
    <col min="1" max="1" customWidth="1" width="13.140625"/>
    <col min="2" max="2" customWidth="1" width="9.140625"/>
    <col min="3" max="3" customWidth="1" width="9.140625"/>
    <col min="4" max="4" customWidth="1" width="9.140625"/>
    <col min="5" max="5" customWidth="1" width="9.140625"/>
    <col min="6" max="6" customWidth="1" width="9.140625"/>
    <col min="7" max="7" customWidth="1" width="12.7109375"/>
    <col min="8" max="8" customWidth="1" width="9.140625"/>
    <col min="9" max="9" customWidth="1" width="9.140625"/>
    <col min="10" max="10" customWidth="1" width="9.140625"/>
    <col min="11" max="11" customWidth="1" width="9.28515625"/>
    <col min="12" max="12" customWidth="1" width="9.140625"/>
    <col min="13" max="13" customWidth="1" width="9.28515625"/>
    <col min="14" max="14" customWidth="1" width="9.140625"/>
    <col min="15" max="15" customWidth="1" width="12.7109375"/>
    <col min="16" max="16" customWidth="1" width="9.140625"/>
    <col min="17" max="17" customWidth="1" width="9.140625"/>
    <col min="18" max="18" customWidth="1" width="9.140625"/>
    <col min="19" max="19" customWidth="1" width="12.7109375"/>
    <col min="20" max="20" customWidth="1" width="9.140625"/>
    <col min="21" max="21" customWidth="1" width="9.140625"/>
    <col min="22" max="22" customWidth="1" width="9.140625"/>
    <col min="23" max="23" customWidth="1" width="9.140625"/>
    <col min="24" max="24" customWidth="1" width="9.140625"/>
    <col min="25" max="25" customWidth="1" width="16"/>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10.710937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36.95" customHeight="1">
      <c r="A1" s="4" t="s">
        <v>0</v>
      </c>
    </row>
    <row r="2" ht="36.95" customHeight="1">
      <c r="A2" t="s">
        <v>893</v>
      </c>
      <c r="G2" s="2">
        <v>442.63</v>
      </c>
      <c r="H2" t="s">
        <v>92</v>
      </c>
    </row>
    <row r="3" ht="36.95" customHeight="1">
      <c r="A3" t="s">
        <v>894</v>
      </c>
      <c r="G3" s="2">
        <v>438.126</v>
      </c>
      <c r="H3" t="s">
        <v>92</v>
      </c>
      <c r="L3" t="s">
        <v>1398</v>
      </c>
    </row>
    <row r="4" ht="36.95" customHeight="1">
      <c r="A4" t="s">
        <v>895</v>
      </c>
      <c r="G4" s="4">
        <v>750</v>
      </c>
      <c r="H4" t="s">
        <v>230</v>
      </c>
    </row>
    <row r="5" ht="36.95" customHeight="1">
      <c r="A5" t="s">
        <v>896</v>
      </c>
      <c r="G5">
        <v>300</v>
      </c>
      <c r="H5" t="s">
        <v>230</v>
      </c>
    </row>
    <row r="6" ht="36.95" customHeight="1">
      <c r="A6" t="s">
        <v>897</v>
      </c>
      <c r="G6">
        <v>4204.000000000019</v>
      </c>
      <c r="H6" t="s">
        <v>230</v>
      </c>
      <c r="U6" t="s">
        <v>1399</v>
      </c>
    </row>
    <row r="7" ht="36.95" customHeight="1">
      <c r="A7" t="s">
        <v>898</v>
      </c>
      <c r="G7">
        <v>2700</v>
      </c>
      <c r="H7" t="s">
        <v>230</v>
      </c>
      <c r="J7" t="s">
        <v>899</v>
      </c>
      <c r="K7">
        <v>1000</v>
      </c>
      <c r="L7" t="s">
        <v>230</v>
      </c>
      <c r="S7">
        <v>163.56</v>
      </c>
      <c r="T7" t="s">
        <v>280</v>
      </c>
      <c r="V7">
        <v>0</v>
      </c>
    </row>
    <row r="8" ht="36.95" customHeight="1">
      <c r="A8" t="s">
        <v>900</v>
      </c>
      <c r="G8">
        <v>1350</v>
      </c>
      <c r="H8" t="s">
        <v>230</v>
      </c>
      <c r="J8" t="s">
        <v>899</v>
      </c>
      <c r="K8">
        <v>1000</v>
      </c>
      <c r="L8" t="s">
        <v>230</v>
      </c>
      <c r="S8">
        <v>28.200000000000003</v>
      </c>
      <c r="T8" t="s">
        <v>280</v>
      </c>
      <c r="V8">
        <v>0</v>
      </c>
    </row>
    <row r="9" ht="36.95" customHeight="1">
      <c r="A9" t="s">
        <v>901</v>
      </c>
      <c r="G9">
        <v>1050</v>
      </c>
      <c r="H9" t="s">
        <v>230</v>
      </c>
    </row>
    <row r="10" ht="36.95" customHeight="1">
      <c r="A10" t="s">
        <v>902</v>
      </c>
      <c r="G10">
        <v>1200</v>
      </c>
      <c r="H10" t="s">
        <v>230</v>
      </c>
    </row>
    <row r="11" ht="36.95" customHeight="1">
      <c r="A11" t="s">
        <v>903</v>
      </c>
      <c r="G11">
        <v>300</v>
      </c>
      <c r="H11" t="s">
        <v>230</v>
      </c>
    </row>
    <row r="12" ht="36.95" customHeight="1">
      <c r="A12" t="s">
        <v>904</v>
      </c>
      <c r="G12">
        <v>1000</v>
      </c>
      <c r="H12" t="s">
        <v>230</v>
      </c>
    </row>
    <row r="13" ht="36.95" customHeight="1">
      <c r="M13">
        <v>300</v>
      </c>
    </row>
    <row r="14" ht="36.95" customHeight="1">
      <c r="X14" t="s">
        <v>905</v>
      </c>
      <c r="Y14" s="2">
        <v>442.63</v>
      </c>
      <c r="Z14" t="s">
        <v>92</v>
      </c>
    </row>
    <row r="15" ht="36.95" customHeight="1">
      <c r="A15">
        <v>300</v>
      </c>
      <c r="F15" t="s">
        <v>906</v>
      </c>
    </row>
    <row r="17" ht="36.95" customHeight="1">
      <c r="K17">
        <v>450</v>
      </c>
      <c r="M17" t="s">
        <v>907</v>
      </c>
      <c r="Q17" t="s">
        <v>908</v>
      </c>
      <c r="W17">
        <v>750</v>
      </c>
    </row>
    <row r="18" ht="36.95" customHeight="1"/>
    <row r="19" ht="36.95" customHeight="1">
      <c r="Y19" s="2">
        <v>441.88</v>
      </c>
    </row>
    <row r="20" ht="36.75" customHeight="1">
      <c r="J20">
        <v>1200</v>
      </c>
      <c r="N20" t="s">
        <v>909</v>
      </c>
    </row>
    <row r="21" ht="36.95" customHeight="1">
      <c r="B21">
        <v>4204.000000000019</v>
      </c>
    </row>
    <row r="22" ht="36.95" customHeight="1"/>
    <row r="23" ht="36.95" customHeight="1">
      <c r="K23">
        <v>1554.000000000019</v>
      </c>
      <c r="U23">
        <v>4.4040000000000195</v>
      </c>
    </row>
    <row r="24" ht="36.95" customHeight="1"/>
    <row r="25" ht="36.95" customHeight="1"/>
    <row r="28" ht="36.95" customHeight="1">
      <c r="C28">
        <v>1000</v>
      </c>
      <c r="F28" t="s">
        <v>910</v>
      </c>
      <c r="S28" t="s">
        <v>911</v>
      </c>
      <c r="U28">
        <v>1000</v>
      </c>
    </row>
    <row r="29" ht="36.95" customHeight="1">
      <c r="W29">
        <v>1000</v>
      </c>
    </row>
    <row r="30" ht="36.95" customHeight="1"/>
    <row r="31" ht="36.95" customHeight="1">
      <c r="X31" t="s">
        <v>905</v>
      </c>
      <c r="Y31" s="2">
        <v>438.126</v>
      </c>
      <c r="Z31" t="s">
        <v>92</v>
      </c>
    </row>
    <row r="32" ht="36.95" customHeight="1">
      <c r="G32">
        <v>2700</v>
      </c>
      <c r="O32">
        <v>1050</v>
      </c>
      <c r="S32">
        <v>1350</v>
      </c>
    </row>
    <row r="33" ht="36.95" customHeight="1">
      <c r="M33">
        <v>5100</v>
      </c>
    </row>
    <row r="35" ht="36.95" customHeight="1">
      <c r="C35" t="s">
        <v>912</v>
      </c>
    </row>
  </sheetData>
  <mergeCells count="8">
    <mergeCell ref="W29:W31"/>
    <mergeCell ref="C35:U35"/>
    <mergeCell ref="A1:Z1"/>
    <mergeCell ref="K17:K18"/>
    <mergeCell ref="M17:M18"/>
    <mergeCell ref="J20:K20"/>
    <mergeCell ref="B21:B23"/>
    <mergeCell ref="K23:K25"/>
  </mergeCells>
  <pageMargins left="0" right="0.25" top="0" bottom="0.25" header="0" footer="0"/>
  <ignoredErrors>
    <ignoredError numberStoredAsText="1" sqref="A1:AH35"/>
  </ignoredErrors>
</worksheet>
</file>

<file path=xl/worksheets/sheet32.xml><?xml version="1.0" encoding="utf-8"?>
<worksheet xmlns="http://schemas.openxmlformats.org/spreadsheetml/2006/main" xmlns:r="http://schemas.openxmlformats.org/officeDocument/2006/relationships">
  <dimension ref="A1:H155"/>
  <sheetViews>
    <sheetView workbookViewId="0" rightToLeft="0"/>
  </sheetViews>
  <cols>
    <col min="1" max="1" customWidth="1" width="13.7109375"/>
    <col min="2" max="2" customWidth="1" width="48.7109375"/>
    <col min="3" max="3" customWidth="1" width="19.5703125"/>
    <col min="4" max="4" customWidth="1" width="14.7109375"/>
    <col min="5" max="5" customWidth="1" width="11.140625"/>
    <col min="6" max="6" customWidth="1" width="9.5703125"/>
    <col min="7" max="7" customWidth="1" width="16.42578125"/>
    <col min="8" max="8" customWidth="1" width="7.140625"/>
  </cols>
  <sheetData>
    <row r="1" ht="15.75" customHeight="1">
      <c r="A1" t="s">
        <v>913</v>
      </c>
    </row>
    <row r="2" ht="15.75" customHeight="1">
      <c r="A2" s="4" t="s">
        <v>0</v>
      </c>
    </row>
    <row r="3" ht="15.75" customHeight="1">
      <c r="A3" t="s">
        <v>914</v>
      </c>
      <c r="B3" t="s">
        <v>915</v>
      </c>
      <c r="C3" t="s">
        <v>916</v>
      </c>
    </row>
    <row r="4" ht="15" customHeight="1">
      <c r="B4" t="s">
        <v>917</v>
      </c>
      <c r="C4" t="s">
        <v>918</v>
      </c>
      <c r="D4" t="s">
        <v>919</v>
      </c>
      <c r="F4" s="1">
        <v>12</v>
      </c>
      <c r="G4" s="1" t="s">
        <v>92</v>
      </c>
    </row>
    <row r="5" ht="15" customHeight="1">
      <c r="C5" t="s">
        <v>1400</v>
      </c>
    </row>
    <row r="6" ht="15" customHeight="1">
      <c r="B6" t="s">
        <v>921</v>
      </c>
      <c r="C6" t="s">
        <v>922</v>
      </c>
    </row>
    <row r="7" ht="15" customHeight="1">
      <c r="B7" t="s">
        <v>923</v>
      </c>
      <c r="C7" t="s">
        <v>924</v>
      </c>
    </row>
    <row r="8" ht="15" customHeight="1">
      <c r="B8" t="s">
        <v>925</v>
      </c>
      <c r="C8" t="s">
        <v>926</v>
      </c>
      <c r="F8">
        <v>35</v>
      </c>
      <c r="G8" t="s">
        <v>927</v>
      </c>
    </row>
    <row r="9" ht="15" customHeight="1">
      <c r="C9" t="s">
        <v>928</v>
      </c>
      <c r="E9">
        <v>18</v>
      </c>
      <c r="F9" t="s">
        <v>929</v>
      </c>
    </row>
    <row r="10" ht="15" customHeight="1">
      <c r="C10" t="s">
        <v>930</v>
      </c>
      <c r="F10">
        <v>17.5</v>
      </c>
      <c r="G10" t="s">
        <v>927</v>
      </c>
    </row>
    <row r="11" ht="15" customHeight="1">
      <c r="B11" t="s">
        <v>931</v>
      </c>
      <c r="C11" t="s">
        <v>932</v>
      </c>
    </row>
    <row r="12" ht="15" customHeight="1">
      <c r="B12" t="s">
        <v>933</v>
      </c>
    </row>
    <row r="13" ht="15" customHeight="1">
      <c r="B13" t="s">
        <v>934</v>
      </c>
      <c r="C13" t="s">
        <v>53</v>
      </c>
      <c r="D13" s="1">
        <v>90.17068320000016</v>
      </c>
      <c r="E13" t="s">
        <v>935</v>
      </c>
    </row>
    <row r="14" ht="15" customHeight="1">
      <c r="B14" t="s">
        <v>936</v>
      </c>
      <c r="C14" t="s">
        <v>53</v>
      </c>
      <c r="D14" s="1">
        <v>65.6888622754491</v>
      </c>
      <c r="E14" t="s">
        <v>935</v>
      </c>
    </row>
    <row r="15" ht="30.75" customHeight="1">
      <c r="B15" t="s">
        <v>937</v>
      </c>
    </row>
    <row r="16" ht="14.25" customHeight="1">
      <c r="B16" t="s">
        <v>938</v>
      </c>
    </row>
    <row r="17" ht="15.75" customHeight="1">
      <c r="A17" t="s">
        <v>939</v>
      </c>
    </row>
    <row r="18" ht="33.75" customHeight="1">
      <c r="B18" t="s">
        <v>940</v>
      </c>
    </row>
    <row r="19" ht="15.75" customHeight="1">
      <c r="A19" t="s">
        <v>941</v>
      </c>
    </row>
    <row r="20" ht="15.75" customHeight="1">
      <c r="A20" t="s">
        <v>942</v>
      </c>
      <c r="B20" t="s">
        <v>943</v>
      </c>
    </row>
    <row r="21" ht="15" customHeight="1">
      <c r="B21" t="s">
        <v>944</v>
      </c>
      <c r="C21">
        <v>0.2</v>
      </c>
      <c r="D21" t="s">
        <v>199</v>
      </c>
      <c r="E21">
        <v>1000</v>
      </c>
      <c r="F21" t="s">
        <v>146</v>
      </c>
      <c r="G21">
        <v>200</v>
      </c>
      <c r="H21" t="s">
        <v>204</v>
      </c>
    </row>
    <row r="22" ht="15" customHeight="1">
      <c r="B22" t="s">
        <v>945</v>
      </c>
    </row>
    <row r="23" ht="15" customHeight="1">
      <c r="B23" t="s">
        <v>946</v>
      </c>
      <c r="C23">
        <v>200</v>
      </c>
      <c r="D23" t="s">
        <v>107</v>
      </c>
      <c r="E23">
        <v>2</v>
      </c>
      <c r="F23" t="s">
        <v>146</v>
      </c>
      <c r="G23">
        <v>100</v>
      </c>
      <c r="H23" t="s">
        <v>204</v>
      </c>
    </row>
    <row r="24" ht="15" customHeight="1">
      <c r="B24" t="s">
        <v>947</v>
      </c>
      <c r="C24">
        <v>100</v>
      </c>
      <c r="D24" t="s">
        <v>107</v>
      </c>
      <c r="E24" s="1">
        <v>12</v>
      </c>
      <c r="F24" t="s">
        <v>146</v>
      </c>
      <c r="G24">
        <v>8.34</v>
      </c>
      <c r="H24" t="s">
        <v>948</v>
      </c>
    </row>
    <row r="25" ht="15.75" customHeight="1">
      <c r="A25" t="s">
        <v>949</v>
      </c>
      <c r="B25" t="s">
        <v>950</v>
      </c>
    </row>
    <row r="26" ht="15" customHeight="1">
      <c r="B26" t="s">
        <v>951</v>
      </c>
      <c r="D26">
        <v>17</v>
      </c>
      <c r="E26" t="s">
        <v>952</v>
      </c>
    </row>
    <row r="27" ht="15" customHeight="1">
      <c r="B27" t="s">
        <v>953</v>
      </c>
    </row>
    <row r="28" ht="18" customHeight="1">
      <c r="B28" t="s">
        <v>954</v>
      </c>
      <c r="C28" s="21">
        <v>0.000011699999999999998</v>
      </c>
      <c r="D28" t="s">
        <v>955</v>
      </c>
    </row>
    <row r="29" ht="15" customHeight="1">
      <c r="B29" t="s">
        <v>956</v>
      </c>
      <c r="C29">
        <v>17</v>
      </c>
      <c r="D29" t="s">
        <v>91</v>
      </c>
      <c r="E29">
        <v>0.000011699999999999998</v>
      </c>
      <c r="F29" t="s">
        <v>53</v>
      </c>
      <c r="G29" s="21">
        <v>0.00019889999999999996</v>
      </c>
    </row>
    <row r="30" ht="25.5" customHeight="1">
      <c r="B30" t="s">
        <v>957</v>
      </c>
      <c r="C30" s="21">
        <v>0.0002</v>
      </c>
    </row>
    <row r="31" ht="15" customHeight="1">
      <c r="B31" t="s">
        <v>958</v>
      </c>
      <c r="C31" s="21">
        <v>0.00019889999999999996</v>
      </c>
      <c r="D31" t="s">
        <v>148</v>
      </c>
      <c r="E31" s="21">
        <v>0.0002</v>
      </c>
      <c r="F31" t="s">
        <v>53</v>
      </c>
      <c r="G31" s="21">
        <v>0.0003989</v>
      </c>
    </row>
    <row r="32" ht="51.75" customHeight="1">
      <c r="B32" t="s">
        <v>959</v>
      </c>
      <c r="C32" s="21">
        <v>0.0003989</v>
      </c>
      <c r="D32" t="s">
        <v>91</v>
      </c>
      <c r="E32">
        <v>11200</v>
      </c>
      <c r="F32" t="s">
        <v>960</v>
      </c>
      <c r="G32" s="21">
        <v>2.23384</v>
      </c>
      <c r="H32" t="s">
        <v>230</v>
      </c>
    </row>
    <row r="33" ht="15" customHeight="1">
      <c r="B33" t="s">
        <v>961</v>
      </c>
      <c r="C33" t="s">
        <v>962</v>
      </c>
      <c r="D33" t="s">
        <v>53</v>
      </c>
      <c r="E33">
        <v>31220.19</v>
      </c>
      <c r="F33" t="s">
        <v>232</v>
      </c>
    </row>
    <row r="34" ht="30" customHeight="1">
      <c r="B34" t="s">
        <v>963</v>
      </c>
      <c r="C34" s="21">
        <v>0.0003989</v>
      </c>
      <c r="D34" t="s">
        <v>91</v>
      </c>
      <c r="E34">
        <v>31220.19</v>
      </c>
      <c r="F34" t="s">
        <v>53</v>
      </c>
      <c r="G34" s="1">
        <v>12.453733791</v>
      </c>
      <c r="H34" t="s">
        <v>232</v>
      </c>
    </row>
    <row r="35" ht="45" customHeight="1">
      <c r="B35" t="s">
        <v>964</v>
      </c>
      <c r="C35" s="21">
        <v>12.453733791</v>
      </c>
      <c r="D35" t="s">
        <v>91</v>
      </c>
      <c r="E35">
        <v>850.0000000000001</v>
      </c>
      <c r="F35" t="s">
        <v>53</v>
      </c>
      <c r="G35" s="1">
        <v>10585.67372235</v>
      </c>
      <c r="H35" t="s">
        <v>965</v>
      </c>
    </row>
    <row r="36" ht="15" customHeight="1">
      <c r="F36" t="s">
        <v>53</v>
      </c>
      <c r="G36" s="1">
        <v>10.58567372235</v>
      </c>
      <c r="H36" t="s">
        <v>935</v>
      </c>
    </row>
    <row r="37" ht="15.75" customHeight="1">
      <c r="A37" t="s">
        <v>966</v>
      </c>
      <c r="B37" t="s">
        <v>967</v>
      </c>
    </row>
    <row r="38" ht="15.75" customHeight="1">
      <c r="A38" t="s">
        <v>1</v>
      </c>
      <c r="B38" t="s">
        <v>968</v>
      </c>
    </row>
    <row r="39" ht="15" customHeight="1">
      <c r="B39" t="s">
        <v>969</v>
      </c>
      <c r="D39" t="s">
        <v>53</v>
      </c>
      <c r="E39" s="1">
        <v>2.612612612612612</v>
      </c>
      <c r="F39" t="s">
        <v>935</v>
      </c>
    </row>
    <row r="40" ht="15" customHeight="1">
      <c r="B40" t="s">
        <v>970</v>
      </c>
    </row>
    <row r="41" ht="15.75" customHeight="1">
      <c r="A41" t="s">
        <v>971</v>
      </c>
    </row>
    <row r="42" ht="20.25" customHeight="1">
      <c r="B42" t="s">
        <v>972</v>
      </c>
    </row>
    <row r="43" ht="19.5" customHeight="1">
      <c r="B43" t="s">
        <v>973</v>
      </c>
    </row>
    <row r="44" ht="20.25" customHeight="1">
      <c r="B44" t="s">
        <v>974</v>
      </c>
    </row>
    <row r="45" ht="15" customHeight="1">
      <c r="B45" t="s">
        <v>975</v>
      </c>
    </row>
    <row r="46" ht="15" customHeight="1">
      <c r="B46" t="s">
        <v>976</v>
      </c>
    </row>
    <row r="47" ht="15" customHeight="1">
      <c r="B47" t="s">
        <v>977</v>
      </c>
    </row>
    <row r="48" ht="15" customHeight="1">
      <c r="B48" t="s">
        <v>978</v>
      </c>
    </row>
    <row r="49" ht="15" customHeight="1">
      <c r="B49" t="s">
        <v>979</v>
      </c>
    </row>
    <row r="50" ht="15" customHeight="1">
      <c r="B50" t="s">
        <v>980</v>
      </c>
    </row>
    <row r="51" ht="15" customHeight="1">
      <c r="B51" t="s">
        <v>981</v>
      </c>
    </row>
    <row r="52" ht="15" customHeight="1">
      <c r="B52" t="s">
        <v>982</v>
      </c>
      <c r="C52">
        <v>90</v>
      </c>
      <c r="D52">
        <v>0</v>
      </c>
      <c r="F52" t="s">
        <v>983</v>
      </c>
      <c r="G52">
        <v>35</v>
      </c>
      <c r="H52">
        <v>0</v>
      </c>
    </row>
    <row r="53" ht="15" customHeight="1">
      <c r="B53" t="s">
        <v>984</v>
      </c>
      <c r="C53">
        <v>17.5</v>
      </c>
      <c r="D53">
        <v>0</v>
      </c>
      <c r="F53" t="s">
        <v>985</v>
      </c>
      <c r="G53">
        <v>0</v>
      </c>
      <c r="H53">
        <v>0</v>
      </c>
    </row>
    <row r="54" ht="19.5" customHeight="1">
      <c r="B54" t="s">
        <v>986</v>
      </c>
      <c r="C54">
        <v>0.496</v>
      </c>
      <c r="D54" t="s">
        <v>987</v>
      </c>
    </row>
    <row r="55" ht="15" customHeight="1">
      <c r="B55" t="s">
        <v>988</v>
      </c>
      <c r="C55" s="1">
        <v>4.204000000000019</v>
      </c>
      <c r="D55" t="s">
        <v>85</v>
      </c>
    </row>
    <row r="56" ht="15" customHeight="1">
      <c r="B56" t="s">
        <v>989</v>
      </c>
    </row>
    <row r="57" ht="14.25" customHeight="1">
      <c r="B57">
        <v>0.5</v>
      </c>
      <c r="C57" t="s">
        <v>91</v>
      </c>
      <c r="D57">
        <v>18</v>
      </c>
      <c r="E57" t="s">
        <v>91</v>
      </c>
      <c r="F57" s="1">
        <v>4.204000000000019</v>
      </c>
      <c r="G57" t="s">
        <v>990</v>
      </c>
      <c r="H57">
        <v>0.496</v>
      </c>
    </row>
    <row r="58" ht="15" customHeight="1">
      <c r="B58" t="s">
        <v>53</v>
      </c>
      <c r="C58" s="1">
        <v>78.9</v>
      </c>
      <c r="D58" t="s">
        <v>935</v>
      </c>
    </row>
    <row r="59" ht="15" customHeight="1">
      <c r="B59" t="s">
        <v>991</v>
      </c>
      <c r="C59">
        <v>0.42</v>
      </c>
      <c r="D59" t="s">
        <v>91</v>
      </c>
      <c r="E59" s="1">
        <v>4.204000000000019</v>
      </c>
      <c r="F59" t="s">
        <v>53</v>
      </c>
      <c r="G59">
        <v>1.77</v>
      </c>
      <c r="H59" t="s">
        <v>85</v>
      </c>
    </row>
    <row r="60" ht="15" customHeight="1">
      <c r="B60" t="s">
        <v>992</v>
      </c>
    </row>
    <row r="61" ht="15.75" customHeight="1">
      <c r="A61" t="s">
        <v>993</v>
      </c>
    </row>
    <row r="62" ht="15" customHeight="1">
      <c r="B62" t="s">
        <v>994</v>
      </c>
    </row>
    <row r="63" ht="15" customHeight="1">
      <c r="B63" t="s">
        <v>995</v>
      </c>
      <c r="E63">
        <v>45.04</v>
      </c>
      <c r="F63" t="s">
        <v>935</v>
      </c>
    </row>
    <row r="64" ht="15" customHeight="1">
      <c r="B64" t="s">
        <v>996</v>
      </c>
      <c r="E64">
        <v>15.02</v>
      </c>
      <c r="F64" t="s">
        <v>935</v>
      </c>
    </row>
    <row r="65">
      <c r="D65" t="s">
        <v>93</v>
      </c>
      <c r="E65">
        <v>60.06</v>
      </c>
      <c r="F65" t="s">
        <v>935</v>
      </c>
    </row>
    <row r="66" ht="15" customHeight="1">
      <c r="B66" t="s">
        <v>997</v>
      </c>
      <c r="C66">
        <v>2.1020000000000096</v>
      </c>
      <c r="D66" t="s">
        <v>998</v>
      </c>
    </row>
    <row r="67" ht="15" customHeight="1">
      <c r="B67" t="s">
        <v>999</v>
      </c>
    </row>
    <row r="68" ht="15" customHeight="1">
      <c r="B68" t="s">
        <v>1401</v>
      </c>
      <c r="C68">
        <v>77.75999999999999</v>
      </c>
      <c r="D68" t="s">
        <v>935</v>
      </c>
    </row>
    <row r="69" ht="15.75" customHeight="1">
      <c r="A69" t="s">
        <v>1001</v>
      </c>
    </row>
    <row r="70" ht="15" customHeight="1">
      <c r="B70" t="s">
        <v>1002</v>
      </c>
      <c r="C70" t="s">
        <v>1402</v>
      </c>
      <c r="D70" t="s">
        <v>83</v>
      </c>
      <c r="E70">
        <v>57.68</v>
      </c>
      <c r="F70" t="s">
        <v>935</v>
      </c>
    </row>
    <row r="71" ht="15.75" customHeight="1">
      <c r="A71" t="s">
        <v>1004</v>
      </c>
    </row>
    <row r="72" ht="15" customHeight="1">
      <c r="B72" t="s">
        <v>1005</v>
      </c>
    </row>
    <row r="73" ht="15" customHeight="1">
      <c r="B73" t="s">
        <v>1006</v>
      </c>
    </row>
    <row r="74" ht="15" customHeight="1">
      <c r="B74" t="s">
        <v>1007</v>
      </c>
    </row>
    <row r="75" ht="15.75" customHeight="1">
      <c r="B75" t="s">
        <v>1008</v>
      </c>
    </row>
    <row r="76" ht="15" customHeight="1">
      <c r="B76" t="s">
        <v>1009</v>
      </c>
    </row>
    <row r="77" ht="15" customHeight="1">
      <c r="B77" t="s">
        <v>1010</v>
      </c>
      <c r="C77" s="1">
        <v>337.061</v>
      </c>
      <c r="D77" t="s">
        <v>323</v>
      </c>
    </row>
    <row r="78" ht="15" customHeight="1">
      <c r="B78" t="s">
        <v>1011</v>
      </c>
      <c r="C78" s="1">
        <v>1288.387</v>
      </c>
      <c r="D78" t="s">
        <v>323</v>
      </c>
    </row>
    <row r="79" ht="15" customHeight="1">
      <c r="B79" t="s">
        <v>1012</v>
      </c>
      <c r="C79" s="1">
        <v>1288.387</v>
      </c>
      <c r="D79" t="s">
        <v>107</v>
      </c>
      <c r="E79" s="1">
        <v>337.061</v>
      </c>
      <c r="F79" t="s">
        <v>53</v>
      </c>
      <c r="G79">
        <v>3.82</v>
      </c>
    </row>
    <row r="80" ht="15" customHeight="1">
      <c r="B80" t="s">
        <v>1013</v>
      </c>
      <c r="G80" t="s">
        <v>1014</v>
      </c>
    </row>
    <row r="81" ht="19.5" customHeight="1">
      <c r="B81" t="s">
        <v>1015</v>
      </c>
    </row>
    <row r="82" ht="15" customHeight="1">
      <c r="C82" t="s">
        <v>1403</v>
      </c>
      <c r="E82">
        <v>1.95</v>
      </c>
      <c r="F82" t="s">
        <v>85</v>
      </c>
    </row>
    <row r="83" ht="15.75" customHeight="1">
      <c r="A83" t="s">
        <v>1017</v>
      </c>
    </row>
    <row r="84" ht="19.5" customHeight="1">
      <c r="B84" t="s">
        <v>1018</v>
      </c>
      <c r="C84">
        <v>5.1</v>
      </c>
      <c r="D84" t="s">
        <v>1019</v>
      </c>
      <c r="E84" s="1">
        <v>0.85</v>
      </c>
      <c r="F84" t="s">
        <v>85</v>
      </c>
    </row>
    <row r="85" ht="19.5" customHeight="1">
      <c r="B85" t="s">
        <v>1020</v>
      </c>
      <c r="C85" s="1">
        <v>2.55</v>
      </c>
      <c r="D85" t="s">
        <v>136</v>
      </c>
      <c r="E85">
        <v>1.95</v>
      </c>
      <c r="F85" t="s">
        <v>53</v>
      </c>
      <c r="G85" s="1">
        <v>0.6</v>
      </c>
      <c r="H85" t="s">
        <v>85</v>
      </c>
    </row>
    <row r="86">
      <c r="F86" t="s">
        <v>1021</v>
      </c>
      <c r="G86" s="1">
        <v>0.85</v>
      </c>
      <c r="H86" t="s">
        <v>85</v>
      </c>
    </row>
    <row r="87" ht="15.75" customHeight="1">
      <c r="B87" t="s">
        <v>1022</v>
      </c>
    </row>
    <row r="88" ht="15" customHeight="1">
      <c r="B88" t="s">
        <v>1023</v>
      </c>
    </row>
    <row r="89" ht="15" customHeight="1">
      <c r="B89" t="s">
        <v>1010</v>
      </c>
      <c r="C89" s="1">
        <v>305.702</v>
      </c>
      <c r="D89" t="s">
        <v>323</v>
      </c>
    </row>
    <row r="90" ht="15" customHeight="1">
      <c r="B90" t="s">
        <v>1011</v>
      </c>
      <c r="C90" s="1">
        <v>1170.5529999999999</v>
      </c>
      <c r="D90" t="s">
        <v>323</v>
      </c>
    </row>
    <row r="91" ht="15" customHeight="1">
      <c r="B91" t="s">
        <v>1012</v>
      </c>
      <c r="C91" s="1">
        <v>1170.5529999999999</v>
      </c>
      <c r="D91" t="s">
        <v>107</v>
      </c>
      <c r="E91" s="1">
        <v>305.702</v>
      </c>
      <c r="F91" t="s">
        <v>53</v>
      </c>
      <c r="G91">
        <v>3.83</v>
      </c>
    </row>
    <row r="92" ht="15" customHeight="1">
      <c r="B92" t="s">
        <v>1013</v>
      </c>
      <c r="G92" t="s">
        <v>1014</v>
      </c>
    </row>
    <row r="93" ht="19.5" customHeight="1">
      <c r="B93" t="s">
        <v>1024</v>
      </c>
    </row>
    <row r="94" ht="15" customHeight="1">
      <c r="C94" t="s">
        <v>1404</v>
      </c>
      <c r="E94">
        <v>2.06</v>
      </c>
      <c r="F94" t="s">
        <v>85</v>
      </c>
    </row>
    <row r="95" ht="15.75" customHeight="1">
      <c r="A95" t="s">
        <v>1026</v>
      </c>
    </row>
    <row r="96" ht="15" customHeight="1">
      <c r="B96" t="s">
        <v>1027</v>
      </c>
    </row>
    <row r="97" ht="15" customHeight="1">
      <c r="B97" t="s">
        <v>1028</v>
      </c>
      <c r="C97" s="1">
        <v>488.96299999999997</v>
      </c>
      <c r="D97" t="s">
        <v>204</v>
      </c>
    </row>
    <row r="98" ht="15" customHeight="1">
      <c r="D98" s="1">
        <v>488.96299999999997</v>
      </c>
      <c r="E98" t="s">
        <v>1029</v>
      </c>
    </row>
    <row r="99" ht="15.75" customHeight="1">
      <c r="A99" t="s">
        <v>1030</v>
      </c>
    </row>
    <row r="100" ht="15.75" customHeight="1">
      <c r="B100" t="s">
        <v>1031</v>
      </c>
      <c r="C100" t="s">
        <v>1405</v>
      </c>
      <c r="E100" t="s">
        <v>53</v>
      </c>
      <c r="F100">
        <v>163.56</v>
      </c>
      <c r="G100" t="s">
        <v>280</v>
      </c>
    </row>
    <row r="101">
      <c r="B101" t="s">
        <v>1033</v>
      </c>
      <c r="C101" t="s">
        <v>1406</v>
      </c>
      <c r="E101" t="s">
        <v>53</v>
      </c>
      <c r="F101">
        <v>28.200000000000003</v>
      </c>
      <c r="G101" t="s">
        <v>280</v>
      </c>
    </row>
    <row r="102" ht="16.5" customHeight="1">
      <c r="A102" t="s">
        <v>1035</v>
      </c>
    </row>
    <row r="103" ht="16.5" customHeight="1">
      <c r="A103" t="s">
        <v>1036</v>
      </c>
      <c r="B103" t="s">
        <v>1037</v>
      </c>
      <c r="C103" t="s">
        <v>1038</v>
      </c>
      <c r="E103" t="s">
        <v>1039</v>
      </c>
    </row>
    <row r="104" ht="15.75" customHeight="1">
      <c r="A104" t="s">
        <v>1040</v>
      </c>
      <c r="C104" t="s">
        <v>73</v>
      </c>
      <c r="D104" t="s">
        <v>1041</v>
      </c>
      <c r="E104" t="s">
        <v>1042</v>
      </c>
    </row>
    <row r="105" ht="20.25" customHeight="1">
      <c r="E105" t="s">
        <v>85</v>
      </c>
      <c r="F105" t="s">
        <v>1043</v>
      </c>
      <c r="G105" t="s">
        <v>1044</v>
      </c>
    </row>
    <row r="106" ht="16.5" customHeight="1">
      <c r="A106" t="s">
        <v>734</v>
      </c>
      <c r="B106" t="s">
        <v>1045</v>
      </c>
      <c r="C106" s="1">
        <v>90.17068320000016</v>
      </c>
      <c r="D106" t="s">
        <v>136</v>
      </c>
      <c r="E106">
        <v>1.73</v>
      </c>
      <c r="F106" s="2">
        <v>156</v>
      </c>
      <c r="G106" t="s">
        <v>136</v>
      </c>
    </row>
    <row r="107" ht="30.75" customHeight="1">
      <c r="A107" t="s">
        <v>736</v>
      </c>
      <c r="B107" t="s">
        <v>1046</v>
      </c>
      <c r="C107">
        <v>0</v>
      </c>
      <c r="D107" s="1">
        <v>10.58567372235</v>
      </c>
      <c r="E107" s="1">
        <v>3.76</v>
      </c>
      <c r="F107" t="s">
        <v>136</v>
      </c>
      <c r="G107" s="2">
        <v>39.802133196035996</v>
      </c>
    </row>
    <row r="108" ht="16.5" customHeight="1">
      <c r="A108" t="s">
        <v>738</v>
      </c>
      <c r="B108" t="s">
        <v>1047</v>
      </c>
      <c r="C108">
        <v>0</v>
      </c>
      <c r="D108" s="1">
        <v>78.9</v>
      </c>
      <c r="E108">
        <v>1.77</v>
      </c>
      <c r="F108" t="s">
        <v>136</v>
      </c>
      <c r="G108" s="2">
        <v>139.65300000000002</v>
      </c>
    </row>
    <row r="109" ht="30.75" customHeight="1">
      <c r="A109" t="s">
        <v>740</v>
      </c>
      <c r="B109" t="s">
        <v>1048</v>
      </c>
      <c r="C109">
        <v>0</v>
      </c>
      <c r="D109" s="1">
        <v>60.06</v>
      </c>
      <c r="E109">
        <v>2.1020000000000096</v>
      </c>
      <c r="F109" t="s">
        <v>136</v>
      </c>
      <c r="G109" s="2">
        <v>126.24612000000059</v>
      </c>
    </row>
    <row r="110" ht="15" customHeight="1">
      <c r="A110" t="s">
        <v>742</v>
      </c>
      <c r="B110" t="s">
        <v>1049</v>
      </c>
      <c r="C110" s="1">
        <v>77.75999999999999</v>
      </c>
      <c r="D110" t="s">
        <v>136</v>
      </c>
      <c r="E110">
        <v>3.75</v>
      </c>
      <c r="F110">
        <v>291.59999999999997</v>
      </c>
      <c r="G110" t="s">
        <v>136</v>
      </c>
    </row>
    <row r="111" ht="15.75" customHeight="1">
      <c r="B111" t="s">
        <v>1050</v>
      </c>
    </row>
    <row r="112" ht="15" customHeight="1">
      <c r="A112" t="s">
        <v>1051</v>
      </c>
      <c r="B112" t="s">
        <v>1052</v>
      </c>
      <c r="C112" s="1">
        <v>122.4</v>
      </c>
      <c r="D112" t="s">
        <v>136</v>
      </c>
      <c r="E112">
        <v>2.55</v>
      </c>
      <c r="F112">
        <v>312.12</v>
      </c>
      <c r="G112" t="s">
        <v>136</v>
      </c>
    </row>
    <row r="113" ht="15.75" customHeight="1">
      <c r="B113" t="s">
        <v>1407</v>
      </c>
    </row>
    <row r="114" ht="15" customHeight="1">
      <c r="A114" t="s">
        <v>1054</v>
      </c>
      <c r="B114" t="s">
        <v>1055</v>
      </c>
      <c r="C114" s="1">
        <v>39.169999999999995</v>
      </c>
      <c r="D114" t="s">
        <v>136</v>
      </c>
      <c r="E114">
        <v>1.8800000000000001</v>
      </c>
      <c r="F114">
        <v>73.63959999999999</v>
      </c>
      <c r="G114" t="s">
        <v>136</v>
      </c>
    </row>
    <row r="115" ht="15.75" customHeight="1">
      <c r="B115" t="s">
        <v>1408</v>
      </c>
    </row>
    <row r="116" ht="15" customHeight="1">
      <c r="A116" t="s">
        <v>1057</v>
      </c>
      <c r="B116" t="s">
        <v>1058</v>
      </c>
      <c r="C116" s="1">
        <v>30.24</v>
      </c>
      <c r="D116" t="s">
        <v>136</v>
      </c>
      <c r="E116" t="s">
        <v>1059</v>
      </c>
      <c r="F116">
        <v>50.8032</v>
      </c>
      <c r="G116" t="s">
        <v>136</v>
      </c>
    </row>
    <row r="117" ht="15.75" customHeight="1">
      <c r="B117" t="s">
        <v>1060</v>
      </c>
    </row>
    <row r="118" ht="15" customHeight="1">
      <c r="A118" t="s">
        <v>1061</v>
      </c>
      <c r="B118" t="s">
        <v>1062</v>
      </c>
      <c r="C118" s="1">
        <v>3.24</v>
      </c>
      <c r="D118" t="s">
        <v>136</v>
      </c>
      <c r="E118" t="s">
        <v>1063</v>
      </c>
      <c r="F118">
        <v>6.6419999999999995</v>
      </c>
      <c r="G118" t="s">
        <v>136</v>
      </c>
    </row>
    <row r="119" ht="15.75" customHeight="1">
      <c r="B119" t="s">
        <v>1064</v>
      </c>
    </row>
    <row r="120" ht="30" customHeight="1">
      <c r="A120" t="s">
        <v>1069</v>
      </c>
      <c r="B120" t="s">
        <v>1070</v>
      </c>
      <c r="C120">
        <v>57.68</v>
      </c>
      <c r="D120" t="s">
        <v>136</v>
      </c>
      <c r="E120">
        <v>4.85</v>
      </c>
      <c r="F120">
        <v>279.748</v>
      </c>
      <c r="G120" t="s">
        <v>136</v>
      </c>
    </row>
    <row r="121" ht="15.75" customHeight="1">
      <c r="B121" t="s">
        <v>1409</v>
      </c>
    </row>
    <row r="122" ht="15.75" customHeight="1">
      <c r="A122" t="s">
        <v>1074</v>
      </c>
      <c r="B122" t="s">
        <v>1075</v>
      </c>
      <c r="C122" s="1">
        <v>420.661</v>
      </c>
      <c r="F122" s="1">
        <v>1170.5529999999999</v>
      </c>
      <c r="G122" s="1">
        <v>305.702</v>
      </c>
    </row>
    <row r="123" ht="16.5" customHeight="1">
      <c r="B123" t="s">
        <v>1076</v>
      </c>
    </row>
    <row r="124" ht="15" customHeight="1">
      <c r="A124" t="s">
        <v>1077</v>
      </c>
      <c r="B124" t="s">
        <v>1078</v>
      </c>
      <c r="C124" s="1">
        <v>65.6888622754491</v>
      </c>
      <c r="D124" t="s">
        <v>136</v>
      </c>
      <c r="E124">
        <v>1.725</v>
      </c>
      <c r="F124">
        <v>113.3132874251497</v>
      </c>
      <c r="G124" t="s">
        <v>136</v>
      </c>
    </row>
    <row r="125" ht="15.75" customHeight="1">
      <c r="B125" t="s">
        <v>1079</v>
      </c>
    </row>
    <row r="126" ht="16.5" customHeight="1">
      <c r="A126" t="s">
        <v>1080</v>
      </c>
      <c r="B126" t="s">
        <v>1081</v>
      </c>
      <c r="C126" s="1">
        <v>2.612612612612612</v>
      </c>
      <c r="D126" t="s">
        <v>136</v>
      </c>
      <c r="E126">
        <v>1.73</v>
      </c>
      <c r="F126" s="2">
        <v>4.519819819819819</v>
      </c>
      <c r="G126" t="s">
        <v>136</v>
      </c>
    </row>
    <row r="127" ht="16.5" customHeight="1">
      <c r="A127" t="s">
        <v>1082</v>
      </c>
      <c r="B127" t="s">
        <v>1083</v>
      </c>
      <c r="C127" s="1">
        <v>0</v>
      </c>
      <c r="D127" s="1">
        <v>8.34</v>
      </c>
      <c r="E127" s="1">
        <v>3.76</v>
      </c>
      <c r="G127">
        <v>31.358399999999996</v>
      </c>
    </row>
    <row r="128" ht="15.75" customHeight="1">
      <c r="A128" t="s">
        <v>1084</v>
      </c>
      <c r="B128" t="s">
        <v>1085</v>
      </c>
      <c r="C128" s="1">
        <v>488.96299999999997</v>
      </c>
      <c r="D128" s="1">
        <v>157.88567372235</v>
      </c>
      <c r="E128" t="s">
        <v>136</v>
      </c>
      <c r="F128" s="1">
        <v>1288.387</v>
      </c>
      <c r="G128" s="1">
        <v>337.061</v>
      </c>
    </row>
    <row r="129" ht="16.5" customHeight="1">
      <c r="B129" t="s">
        <v>1086</v>
      </c>
    </row>
    <row r="130" ht="15.75" customHeight="1">
      <c r="B130" t="s">
        <v>1087</v>
      </c>
      <c r="C130" s="1">
        <v>1288.387</v>
      </c>
      <c r="D130" t="s">
        <v>136</v>
      </c>
      <c r="E130" s="1">
        <v>337.061</v>
      </c>
      <c r="F130" t="s">
        <v>53</v>
      </c>
      <c r="G130" s="1">
        <v>951.326</v>
      </c>
    </row>
    <row r="131" ht="15.75" customHeight="1"/>
    <row r="132" ht="15" customHeight="1">
      <c r="B132" t="s">
        <v>1088</v>
      </c>
      <c r="C132">
        <v>163.56</v>
      </c>
      <c r="D132" t="s">
        <v>1089</v>
      </c>
      <c r="E132" s="1">
        <v>200</v>
      </c>
      <c r="F132" t="s">
        <v>1090</v>
      </c>
    </row>
    <row r="133" ht="15" customHeight="1">
      <c r="B133" t="s">
        <v>1091</v>
      </c>
      <c r="C133">
        <v>28.200000000000003</v>
      </c>
      <c r="D133" t="s">
        <v>1092</v>
      </c>
    </row>
    <row r="134" ht="15.75" customHeight="1">
      <c r="A134" t="s">
        <v>1093</v>
      </c>
    </row>
    <row r="135" ht="15" customHeight="1">
      <c r="B135" t="s">
        <v>1094</v>
      </c>
    </row>
    <row r="136" ht="15" customHeight="1">
      <c r="B136" t="s">
        <v>1095</v>
      </c>
      <c r="C136" s="1">
        <v>157.88567372235</v>
      </c>
      <c r="D136" t="s">
        <v>1096</v>
      </c>
    </row>
    <row r="137" ht="15" customHeight="1">
      <c r="B137" t="s">
        <v>1097</v>
      </c>
      <c r="C137">
        <v>0.6</v>
      </c>
      <c r="D137" t="s">
        <v>199</v>
      </c>
      <c r="E137" s="1">
        <v>488.96299999999997</v>
      </c>
      <c r="F137" t="s">
        <v>146</v>
      </c>
      <c r="G137">
        <v>293.38</v>
      </c>
      <c r="H137" t="s">
        <v>204</v>
      </c>
    </row>
    <row r="138" ht="15" customHeight="1">
      <c r="B138" t="s">
        <v>1098</v>
      </c>
      <c r="C138">
        <v>293.38</v>
      </c>
      <c r="D138" t="s">
        <v>1099</v>
      </c>
      <c r="E138" s="1">
        <v>157.88567372235</v>
      </c>
      <c r="F138" t="s">
        <v>146</v>
      </c>
      <c r="G138">
        <v>1.86</v>
      </c>
    </row>
    <row r="139" ht="15.75" customHeight="1">
      <c r="A139" t="s">
        <v>1100</v>
      </c>
      <c r="G139" t="s">
        <v>1014</v>
      </c>
    </row>
    <row r="140" ht="15" customHeight="1">
      <c r="B140" t="s">
        <v>1101</v>
      </c>
    </row>
    <row r="141" ht="15.75" customHeight="1"/>
    <row r="142" ht="15.75" customHeight="1"/>
    <row r="143" ht="15.75" customHeight="1"/>
    <row r="144" ht="15.75" customHeight="1"/>
    <row r="145"/>
    <row r="146"/>
    <row r="147"/>
    <row r="148"/>
    <row r="149"/>
    <row r="150"/>
    <row r="151"/>
    <row r="152"/>
    <row r="153"/>
    <row r="154"/>
    <row r="155"/>
  </sheetData>
  <mergeCells count="66">
    <mergeCell ref="A1:H1"/>
    <mergeCell ref="C9:D9"/>
    <mergeCell ref="B15:H15"/>
    <mergeCell ref="B16:H16"/>
    <mergeCell ref="B18:H18"/>
    <mergeCell ref="A102:G102"/>
    <mergeCell ref="B103:B105"/>
    <mergeCell ref="C103:D103"/>
    <mergeCell ref="E103:G103"/>
    <mergeCell ref="C104:C105"/>
    <mergeCell ref="D104:D105"/>
    <mergeCell ref="A110:A111"/>
    <mergeCell ref="C110:C111"/>
    <mergeCell ref="D110:D111"/>
    <mergeCell ref="E110:E111"/>
    <mergeCell ref="F110:F111"/>
    <mergeCell ref="G110:G111"/>
    <mergeCell ref="A112:A113"/>
    <mergeCell ref="C112:C113"/>
    <mergeCell ref="D112:D113"/>
    <mergeCell ref="E112:E113"/>
    <mergeCell ref="F112:F113"/>
    <mergeCell ref="G112:G113"/>
    <mergeCell ref="A114:A115"/>
    <mergeCell ref="C114:C115"/>
    <mergeCell ref="D114:D115"/>
    <mergeCell ref="E114:E115"/>
    <mergeCell ref="F114:F115"/>
    <mergeCell ref="G114:G115"/>
    <mergeCell ref="A116:A117"/>
    <mergeCell ref="C116:C117"/>
    <mergeCell ref="D116:D117"/>
    <mergeCell ref="E116:E117"/>
    <mergeCell ref="F116:F117"/>
    <mergeCell ref="G116:G117"/>
    <mergeCell ref="A118:A119"/>
    <mergeCell ref="C118:C119"/>
    <mergeCell ref="D118:D119"/>
    <mergeCell ref="E118:E119"/>
    <mergeCell ref="F118:F119"/>
    <mergeCell ref="G118:G119"/>
    <mergeCell ref="A120:A121"/>
    <mergeCell ref="C120:C121"/>
    <mergeCell ref="D120:D121"/>
    <mergeCell ref="E120:E121"/>
    <mergeCell ref="F120:F121"/>
    <mergeCell ref="G120:G121"/>
    <mergeCell ref="A122:A123"/>
    <mergeCell ref="C122:C123"/>
    <mergeCell ref="D122:D123"/>
    <mergeCell ref="E122:E123"/>
    <mergeCell ref="F122:F123"/>
    <mergeCell ref="G122:G123"/>
    <mergeCell ref="A124:A125"/>
    <mergeCell ref="C124:C125"/>
    <mergeCell ref="D124:D125"/>
    <mergeCell ref="E124:E125"/>
    <mergeCell ref="F124:F125"/>
    <mergeCell ref="G124:G125"/>
    <mergeCell ref="G128:G129"/>
    <mergeCell ref="F126:F127"/>
    <mergeCell ref="A128:A129"/>
    <mergeCell ref="C128:C129"/>
    <mergeCell ref="D128:D129"/>
    <mergeCell ref="E128:E129"/>
    <mergeCell ref="F128:F129"/>
  </mergeCells>
  <pageMargins left="0.75" right="0.75" top="1" bottom="1" header="0.5" footer="0.5"/>
  <ignoredErrors>
    <ignoredError numberStoredAsText="1" sqref="A1:H155"/>
  </ignoredErrors>
</worksheet>
</file>

<file path=xl/worksheets/sheet33.xml><?xml version="1.0" encoding="utf-8"?>
<worksheet xmlns="http://schemas.openxmlformats.org/spreadsheetml/2006/main" xmlns:r="http://schemas.openxmlformats.org/officeDocument/2006/relationships">
  <dimension ref="A1:N69"/>
  <sheetViews>
    <sheetView workbookViewId="0" rightToLeft="0"/>
  </sheetViews>
  <cols>
    <col min="1" max="1" customWidth="1" width="6.7109375"/>
    <col min="2" max="2" customWidth="1" width="34.42578125"/>
    <col min="3" max="3" customWidth="1" width="15.42578125"/>
    <col min="4" max="4" customWidth="1" width="9.85546875"/>
    <col min="5" max="5" customWidth="1" width="9.7109375"/>
    <col min="6" max="6" customWidth="1" width="8.28515625"/>
    <col min="7" max="7" customWidth="1" width="9.85546875"/>
    <col min="8" max="8" customWidth="1" width="8"/>
    <col min="9" max="9" customWidth="1" width="4"/>
    <col min="10" max="10" customWidth="1" width="6.5703125"/>
    <col min="11" max="11" customWidth="1" width="2.5703125"/>
    <col min="12" max="12" customWidth="1" width="7.5703125"/>
    <col min="13" max="13" customWidth="1" width="2.85546875"/>
    <col min="14" max="14" customWidth="1" width="2.85546875"/>
  </cols>
  <sheetData>
    <row r="1" ht="15.75" customHeight="1">
      <c r="A1" t="s">
        <v>1102</v>
      </c>
    </row>
    <row r="2" ht="15.75" customHeight="1">
      <c r="A2" t="s">
        <v>0</v>
      </c>
    </row>
    <row r="3" ht="15.75" customHeight="1">
      <c r="A3" t="s">
        <v>1103</v>
      </c>
    </row>
    <row r="4" ht="15.75" customHeight="1">
      <c r="A4" t="s">
        <v>510</v>
      </c>
    </row>
    <row r="5" ht="19.5" customHeight="1">
      <c r="B5" t="s">
        <v>511</v>
      </c>
      <c r="C5" t="s">
        <v>512</v>
      </c>
      <c r="D5" s="1">
        <v>14</v>
      </c>
      <c r="E5" t="s">
        <v>85</v>
      </c>
    </row>
    <row r="6" ht="19.5" customHeight="1">
      <c r="B6" t="s">
        <v>513</v>
      </c>
      <c r="C6" t="s">
        <v>514</v>
      </c>
      <c r="D6" s="1">
        <v>5.1</v>
      </c>
      <c r="E6" t="s">
        <v>85</v>
      </c>
    </row>
    <row r="7" ht="15.75" customHeight="1">
      <c r="B7" t="s">
        <v>1104</v>
      </c>
      <c r="D7" s="1">
        <v>3.0999999999999996</v>
      </c>
      <c r="E7" t="s">
        <v>85</v>
      </c>
    </row>
    <row r="8" ht="15.75" customHeight="1">
      <c r="B8" t="s">
        <v>516</v>
      </c>
      <c r="C8" t="s">
        <v>60</v>
      </c>
      <c r="D8" s="1">
        <v>488.96299999999997</v>
      </c>
      <c r="E8" t="s">
        <v>204</v>
      </c>
    </row>
    <row r="9" ht="19.5" customHeight="1">
      <c r="B9" t="s">
        <v>517</v>
      </c>
      <c r="C9" t="s">
        <v>518</v>
      </c>
      <c r="D9" s="1">
        <v>951.326</v>
      </c>
      <c r="E9" t="s">
        <v>323</v>
      </c>
    </row>
    <row r="10" ht="19.5" customHeight="1">
      <c r="B10" t="s">
        <v>519</v>
      </c>
      <c r="C10" t="s">
        <v>520</v>
      </c>
      <c r="D10" s="1">
        <v>0</v>
      </c>
      <c r="E10" t="s">
        <v>323</v>
      </c>
    </row>
    <row r="11" hidden="1" ht="19.5" customHeight="1">
      <c r="B11" t="s">
        <v>521</v>
      </c>
      <c r="C11" t="s">
        <v>522</v>
      </c>
      <c r="D11" s="1">
        <v>1.9455991557643422</v>
      </c>
      <c r="E11" t="s">
        <v>85</v>
      </c>
    </row>
    <row r="12" hidden="1" ht="19.5" customHeight="1">
      <c r="B12" t="s">
        <v>523</v>
      </c>
      <c r="C12" t="s">
        <v>524</v>
      </c>
      <c r="D12" s="1">
        <v>0</v>
      </c>
      <c r="E12" t="s">
        <v>85</v>
      </c>
    </row>
    <row r="13" hidden="1" ht="19.5" customHeight="1">
      <c r="B13" s="1" t="s">
        <v>525</v>
      </c>
      <c r="D13" s="1">
        <v>0.1389713682688816</v>
      </c>
      <c r="E13" s="1" t="s">
        <v>526</v>
      </c>
    </row>
    <row r="14" hidden="1" ht="19.5" customHeight="1">
      <c r="B14" s="1" t="s">
        <v>527</v>
      </c>
      <c r="D14" s="1">
        <v>0</v>
      </c>
    </row>
    <row r="15" hidden="1" ht="12.75" customHeight="1">
      <c r="B15" s="1" t="s">
        <v>528</v>
      </c>
      <c r="D15" s="1">
        <v>1</v>
      </c>
    </row>
    <row r="16" hidden="1" ht="15.75" customHeight="1">
      <c r="B16" s="1" t="s">
        <v>529</v>
      </c>
      <c r="D16" s="1">
        <v>0</v>
      </c>
    </row>
    <row r="17" ht="19.5" customHeight="1">
      <c r="B17" t="s">
        <v>530</v>
      </c>
      <c r="E17" s="1">
        <v>0</v>
      </c>
      <c r="F17" s="1" t="s">
        <v>389</v>
      </c>
      <c r="G17" s="1">
        <v>0</v>
      </c>
      <c r="H17" t="s">
        <v>271</v>
      </c>
    </row>
    <row r="18" ht="18.75" customHeight="1">
      <c r="B18" t="s">
        <v>531</v>
      </c>
      <c r="E18" s="1">
        <v>163.56</v>
      </c>
      <c r="F18" s="1" t="s">
        <v>280</v>
      </c>
    </row>
    <row r="19" ht="18.75" customHeight="1">
      <c r="B19" t="s">
        <v>532</v>
      </c>
      <c r="E19" s="1">
        <v>163.56</v>
      </c>
      <c r="F19" s="1" t="s">
        <v>280</v>
      </c>
    </row>
    <row r="20" ht="18.75" customHeight="1">
      <c r="B20" t="s">
        <v>533</v>
      </c>
      <c r="E20" s="1">
        <v>163.56</v>
      </c>
      <c r="F20" s="1" t="s">
        <v>280</v>
      </c>
    </row>
    <row r="21" ht="15" customHeight="1">
      <c r="B21" t="s">
        <v>534</v>
      </c>
      <c r="E21" s="1">
        <v>1</v>
      </c>
      <c r="F21" s="2" t="s">
        <v>85</v>
      </c>
    </row>
    <row r="22" ht="18.75" customHeight="1">
      <c r="B22" t="s">
        <v>535</v>
      </c>
      <c r="E22" s="1">
        <v>131.4894117647059</v>
      </c>
      <c r="F22" s="1" t="s">
        <v>280</v>
      </c>
    </row>
    <row r="23" ht="30" customHeight="1">
      <c r="B23" t="s">
        <v>536</v>
      </c>
      <c r="E23" s="1">
        <v>147.52470588235295</v>
      </c>
      <c r="F23" s="1" t="s">
        <v>280</v>
      </c>
    </row>
    <row r="24" ht="18.75" customHeight="1">
      <c r="B24" t="s">
        <v>537</v>
      </c>
      <c r="E24" s="1">
        <v>1</v>
      </c>
      <c r="F24" s="1" t="s">
        <v>389</v>
      </c>
    </row>
    <row r="25" ht="30" customHeight="1">
      <c r="B25" t="s">
        <v>538</v>
      </c>
      <c r="E25" s="1">
        <v>0.5181159420289855</v>
      </c>
      <c r="F25" s="2" t="s">
        <v>85</v>
      </c>
    </row>
    <row r="26" ht="15.75" customHeight="1">
      <c r="B26" t="s">
        <v>539</v>
      </c>
      <c r="E26" s="1">
        <v>76.43490196078432</v>
      </c>
      <c r="F26" s="1" t="s">
        <v>323</v>
      </c>
    </row>
    <row r="27" ht="15.75" customHeight="1">
      <c r="B27" t="s">
        <v>540</v>
      </c>
      <c r="E27" t="s">
        <v>427</v>
      </c>
    </row>
    <row r="28" ht="15.75" customHeight="1">
      <c r="B28" t="s">
        <v>541</v>
      </c>
      <c r="E28">
        <v>10</v>
      </c>
      <c r="F28" t="s">
        <v>232</v>
      </c>
    </row>
    <row r="29" ht="15.75" customHeight="1">
      <c r="B29" t="s">
        <v>85</v>
      </c>
      <c r="E29" s="1">
        <v>9.333333333333334</v>
      </c>
    </row>
    <row r="30" ht="15.75" customHeight="1">
      <c r="B30" t="s">
        <v>542</v>
      </c>
      <c r="E30">
        <v>200</v>
      </c>
    </row>
    <row r="31" ht="15.75" customHeight="1">
      <c r="B31" t="s">
        <v>543</v>
      </c>
      <c r="E31" s="2">
        <v>0.3181818181818182</v>
      </c>
    </row>
    <row r="32" ht="15.75" customHeight="1">
      <c r="B32" t="s">
        <v>544</v>
      </c>
      <c r="E32" s="2">
        <v>0.8939393939393939</v>
      </c>
    </row>
    <row r="33" ht="15.75" customHeight="1">
      <c r="B33" t="s">
        <v>173</v>
      </c>
      <c r="E33" s="2">
        <v>1.4221763085399448</v>
      </c>
    </row>
    <row r="34" ht="15.75" customHeight="1">
      <c r="B34" t="s">
        <v>545</v>
      </c>
      <c r="E34" s="4">
        <v>231.82973384564747</v>
      </c>
      <c r="F34" t="s">
        <v>230</v>
      </c>
    </row>
    <row r="35" ht="15.75" customHeight="1">
      <c r="B35" t="s">
        <v>546</v>
      </c>
      <c r="E35" s="4">
        <v>1000</v>
      </c>
      <c r="F35" t="s">
        <v>230</v>
      </c>
    </row>
    <row r="36" ht="15.75" customHeight="1">
      <c r="B36" t="s">
        <v>547</v>
      </c>
      <c r="E36" s="4">
        <v>50</v>
      </c>
      <c r="F36" t="s">
        <v>230</v>
      </c>
    </row>
    <row r="37" ht="15.75" customHeight="1">
      <c r="B37" t="s">
        <v>548</v>
      </c>
      <c r="E37" s="4">
        <v>16</v>
      </c>
      <c r="F37" t="s">
        <v>230</v>
      </c>
    </row>
    <row r="38" ht="15.75" customHeight="1">
      <c r="B38" t="s">
        <v>549</v>
      </c>
      <c r="E38" s="4">
        <v>942</v>
      </c>
      <c r="F38" t="s">
        <v>230</v>
      </c>
    </row>
    <row r="39" ht="15.75" customHeight="1">
      <c r="B39" t="s">
        <v>550</v>
      </c>
      <c r="E39">
        <v>942</v>
      </c>
      <c r="F39" t="s">
        <v>230</v>
      </c>
    </row>
    <row r="40" ht="18" customHeight="1">
      <c r="B40" t="s">
        <v>551</v>
      </c>
      <c r="E40" s="4">
        <v>453.8399663006733</v>
      </c>
      <c r="F40" t="s">
        <v>457</v>
      </c>
    </row>
    <row r="41" ht="18" customHeight="1">
      <c r="B41" t="s">
        <v>552</v>
      </c>
      <c r="E41" s="4">
        <v>200.96</v>
      </c>
      <c r="F41" t="s">
        <v>457</v>
      </c>
    </row>
    <row r="42" ht="15.75" customHeight="1">
      <c r="B42" t="s">
        <v>553</v>
      </c>
      <c r="E42" s="4">
        <v>442.799257275773</v>
      </c>
      <c r="F42" t="s">
        <v>230</v>
      </c>
    </row>
    <row r="43" ht="15.75" customHeight="1">
      <c r="B43" t="s">
        <v>554</v>
      </c>
      <c r="C43" s="4">
        <v>16</v>
      </c>
      <c r="D43" t="s">
        <v>230</v>
      </c>
      <c r="E43" s="4">
        <v>150</v>
      </c>
      <c r="F43" t="s">
        <v>230</v>
      </c>
      <c r="G43" t="s">
        <v>1105</v>
      </c>
    </row>
    <row r="44" ht="18" customHeight="1">
      <c r="B44" t="s">
        <v>556</v>
      </c>
      <c r="E44" s="4">
        <v>1884</v>
      </c>
      <c r="F44" t="s">
        <v>457</v>
      </c>
    </row>
    <row r="45" ht="21" customHeight="1">
      <c r="B45" t="s">
        <v>557</v>
      </c>
      <c r="E45">
        <v>20</v>
      </c>
      <c r="F45" t="s">
        <v>230</v>
      </c>
    </row>
    <row r="46" ht="18" customHeight="1">
      <c r="B46" t="s">
        <v>558</v>
      </c>
      <c r="E46">
        <v>314</v>
      </c>
      <c r="F46" t="s">
        <v>457</v>
      </c>
    </row>
    <row r="47" ht="15.75" customHeight="1">
      <c r="B47" t="s">
        <v>559</v>
      </c>
      <c r="E47" s="4">
        <v>166.66666666666666</v>
      </c>
      <c r="F47" t="s">
        <v>230</v>
      </c>
    </row>
    <row r="48" ht="15.75" customHeight="1">
      <c r="B48" t="s">
        <v>554</v>
      </c>
      <c r="C48">
        <v>16</v>
      </c>
      <c r="D48" t="s">
        <v>230</v>
      </c>
      <c r="E48">
        <v>160</v>
      </c>
      <c r="F48" t="s">
        <v>230</v>
      </c>
      <c r="G48" t="s">
        <v>1105</v>
      </c>
    </row>
    <row r="49"/>
    <row r="50" ht="25.5" customHeight="1">
      <c r="B50" t="s">
        <v>560</v>
      </c>
      <c r="C50">
        <v>12</v>
      </c>
      <c r="D50" t="s">
        <v>230</v>
      </c>
      <c r="E50">
        <v>150</v>
      </c>
      <c r="F50" t="s">
        <v>230</v>
      </c>
    </row>
    <row r="51" ht="25.5" customHeight="1">
      <c r="B51" t="s">
        <v>561</v>
      </c>
      <c r="C51">
        <v>12</v>
      </c>
      <c r="D51" t="s">
        <v>230</v>
      </c>
      <c r="E51">
        <v>150</v>
      </c>
      <c r="F51" t="s">
        <v>230</v>
      </c>
    </row>
    <row r="52" ht="14.25" customHeight="1">
      <c r="A52" t="s">
        <v>562</v>
      </c>
      <c r="C52" t="s">
        <v>563</v>
      </c>
    </row>
    <row r="53">
      <c r="B53" t="s">
        <v>564</v>
      </c>
      <c r="E53">
        <v>942</v>
      </c>
      <c r="F53" t="s">
        <v>230</v>
      </c>
    </row>
    <row r="54">
      <c r="B54" t="s">
        <v>565</v>
      </c>
      <c r="E54" s="1">
        <v>0.05800000000000005</v>
      </c>
      <c r="F54" t="s">
        <v>85</v>
      </c>
    </row>
    <row r="55" ht="14.25" customHeight="1">
      <c r="B55" t="s">
        <v>533</v>
      </c>
      <c r="E55" s="1">
        <v>163.56</v>
      </c>
      <c r="F55" s="1" t="s">
        <v>280</v>
      </c>
    </row>
    <row r="56" ht="14.25" customHeight="1">
      <c r="B56" t="s">
        <v>566</v>
      </c>
      <c r="E56" s="1">
        <v>131.4894117647059</v>
      </c>
      <c r="F56" s="1" t="s">
        <v>280</v>
      </c>
    </row>
    <row r="57" ht="14.25" customHeight="1">
      <c r="B57" t="s">
        <v>536</v>
      </c>
      <c r="E57" s="1">
        <v>147.52470588235295</v>
      </c>
      <c r="F57" s="1" t="s">
        <v>280</v>
      </c>
    </row>
    <row r="58">
      <c r="B58" t="s">
        <v>567</v>
      </c>
      <c r="E58" s="1">
        <v>8.556432941176478</v>
      </c>
      <c r="F58" t="s">
        <v>204</v>
      </c>
    </row>
    <row r="59">
      <c r="B59" t="s">
        <v>568</v>
      </c>
      <c r="C59" t="s">
        <v>569</v>
      </c>
    </row>
    <row r="60" ht="14.25" customHeight="1">
      <c r="B60" t="s">
        <v>570</v>
      </c>
      <c r="E60" s="1">
        <v>0.009083262145622587</v>
      </c>
      <c r="F60" s="1" t="s">
        <v>232</v>
      </c>
    </row>
    <row r="61">
      <c r="B61" t="s">
        <v>571</v>
      </c>
      <c r="C61" t="s">
        <v>572</v>
      </c>
      <c r="E61" s="1">
        <v>0.14222222222222222</v>
      </c>
    </row>
    <row r="62" ht="14.25" customHeight="1">
      <c r="B62" t="s">
        <v>573</v>
      </c>
      <c r="E62" s="1">
        <v>0.23</v>
      </c>
      <c r="F62" s="1" t="s">
        <v>232</v>
      </c>
    </row>
    <row r="63">
      <c r="B63" t="s">
        <v>574</v>
      </c>
    </row>
    <row r="64" ht="14.25" customHeight="1">
      <c r="B64" t="s">
        <v>575</v>
      </c>
      <c r="E64" s="1">
        <v>0.23</v>
      </c>
      <c r="F64" s="1" t="s">
        <v>232</v>
      </c>
    </row>
    <row r="65" ht="26.25" customHeight="1">
      <c r="D65" t="s">
        <v>576</v>
      </c>
    </row>
    <row r="66" ht="21" customHeight="1">
      <c r="B66" t="s">
        <v>577</v>
      </c>
      <c r="E66">
        <v>16</v>
      </c>
      <c r="F66" t="s">
        <v>230</v>
      </c>
    </row>
    <row r="67" ht="14.25" customHeight="1">
      <c r="B67" t="s">
        <v>558</v>
      </c>
      <c r="E67" s="4">
        <v>200.96</v>
      </c>
      <c r="F67" t="s">
        <v>457</v>
      </c>
    </row>
    <row r="68">
      <c r="B68" t="s">
        <v>578</v>
      </c>
      <c r="E68" s="4">
        <v>8849.68403545842</v>
      </c>
      <c r="F68" t="s">
        <v>230</v>
      </c>
    </row>
    <row r="69">
      <c r="B69" t="s">
        <v>554</v>
      </c>
      <c r="C69">
        <v>16</v>
      </c>
      <c r="D69" t="s">
        <v>230</v>
      </c>
      <c r="E69">
        <v>150</v>
      </c>
      <c r="F69" t="s">
        <v>230</v>
      </c>
      <c r="G69" t="s">
        <v>1105</v>
      </c>
    </row>
  </sheetData>
  <mergeCells count="3">
    <mergeCell ref="A1:N1"/>
    <mergeCell ref="E13:G16"/>
    <mergeCell ref="D65:G65"/>
  </mergeCells>
  <pageMargins left="0.75" right="0.75" top="1" bottom="1" header="0.5" footer="0.5"/>
  <ignoredErrors>
    <ignoredError numberStoredAsText="1" sqref="A1:N69"/>
  </ignoredErrors>
</worksheet>
</file>

<file path=xl/worksheets/sheet34.xml><?xml version="1.0" encoding="utf-8"?>
<worksheet xmlns="http://schemas.openxmlformats.org/spreadsheetml/2006/main" xmlns:r="http://schemas.openxmlformats.org/officeDocument/2006/relationships">
  <dimension ref="A1:I31"/>
  <sheetViews>
    <sheetView workbookViewId="0" rightToLeft="0"/>
  </sheetViews>
  <cols>
    <col min="1" max="1" customWidth="1" width="11.85546875"/>
    <col min="2" max="2" customWidth="1" width="8.42578125"/>
  </cols>
  <sheetData>
    <row r="1">
      <c r="E1" s="1">
        <f>D18-1</f>
        <v>4.1</v>
      </c>
      <c r="F1" t="s">
        <v>85</v>
      </c>
    </row>
    <row r="8">
      <c r="B8" s="1">
        <v>1</v>
      </c>
      <c r="C8" t="s">
        <v>85</v>
      </c>
      <c r="F8" s="1">
        <v>1</v>
      </c>
      <c r="G8" t="s">
        <v>85</v>
      </c>
    </row>
    <row r="18">
      <c r="D18" s="1">
        <v>5.1</v>
      </c>
      <c r="E18" t="s">
        <v>85</v>
      </c>
    </row>
    <row r="21">
      <c r="B21" s="1">
        <v>258.56357441323684</v>
      </c>
      <c r="C21" t="s">
        <v>85</v>
      </c>
    </row>
    <row r="22"/>
    <row r="25">
      <c r="E25" s="1">
        <v>131.4894117647059</v>
      </c>
    </row>
    <row r="26" ht="14.25" customHeight="1">
      <c r="E26" s="1" t="s">
        <v>280</v>
      </c>
      <c r="G26" s="1">
        <v>163.56</v>
      </c>
      <c r="H26" s="1" t="s">
        <v>280</v>
      </c>
    </row>
    <row r="29">
      <c r="D29" t="s">
        <v>579</v>
      </c>
    </row>
    <row r="31">
      <c r="A31" t="s">
        <v>1102</v>
      </c>
    </row>
  </sheetData>
  <mergeCells count="1">
    <mergeCell ref="A31:F31"/>
  </mergeCells>
  <pageMargins left="0.75" right="0.75" top="1" bottom="1" header="0.5" footer="0.5"/>
  <ignoredErrors>
    <ignoredError numberStoredAsText="1" sqref="A1:I31"/>
  </ignoredErrors>
</worksheet>
</file>

<file path=xl/worksheets/sheet35.xml><?xml version="1.0" encoding="utf-8"?>
<worksheet xmlns="http://schemas.openxmlformats.org/spreadsheetml/2006/main" xmlns:r="http://schemas.openxmlformats.org/officeDocument/2006/relationships">
  <dimension ref="A1:N74"/>
  <sheetViews>
    <sheetView workbookViewId="0" rightToLeft="0"/>
  </sheetViews>
  <cols>
    <col min="1" max="1" customWidth="1" width="6.7109375"/>
    <col min="2" max="2" customWidth="1" width="34.42578125"/>
    <col min="3" max="3" customWidth="1" width="15.42578125"/>
    <col min="4" max="4" customWidth="1" width="9.85546875"/>
    <col min="5" max="5" customWidth="1" width="9.7109375"/>
    <col min="6" max="6" customWidth="1" width="8.28515625"/>
    <col min="7" max="7" customWidth="1" width="9.85546875"/>
    <col min="8" max="8" customWidth="1" width="8"/>
    <col min="9" max="9" customWidth="1" width="4"/>
    <col min="10" max="10" customWidth="1" width="6.5703125"/>
    <col min="11" max="11" customWidth="1" width="2.5703125"/>
    <col min="12" max="12" customWidth="1" width="7.5703125"/>
    <col min="13" max="13" customWidth="1" width="2.85546875"/>
    <col min="14" max="14" customWidth="1" width="2.85546875"/>
  </cols>
  <sheetData>
    <row r="1">
      <c r="A1" t="s">
        <v>1410</v>
      </c>
    </row>
    <row r="2">
      <c r="A2" t="s">
        <v>1411</v>
      </c>
    </row>
    <row r="3">
      <c r="A3" t="s">
        <v>1103</v>
      </c>
    </row>
    <row r="4">
      <c r="A4" t="s">
        <v>510</v>
      </c>
    </row>
    <row r="5">
      <c r="B5" t="s">
        <v>1412</v>
      </c>
      <c r="D5" s="1">
        <v>0.9</v>
      </c>
      <c r="E5" t="s">
        <v>85</v>
      </c>
    </row>
    <row r="6" ht="15.75" customHeight="1">
      <c r="B6" t="s">
        <v>511</v>
      </c>
      <c r="C6" t="s">
        <v>512</v>
      </c>
      <c r="D6" s="1">
        <v>1</v>
      </c>
      <c r="E6" t="s">
        <v>85</v>
      </c>
    </row>
    <row r="7" ht="15.75" customHeight="1">
      <c r="B7" t="s">
        <v>513</v>
      </c>
      <c r="C7" t="s">
        <v>514</v>
      </c>
      <c r="D7" s="1">
        <v>3.2</v>
      </c>
      <c r="E7" t="s">
        <v>85</v>
      </c>
    </row>
    <row r="8">
      <c r="B8" t="s">
        <v>1104</v>
      </c>
      <c r="D8" s="1">
        <v>1.05</v>
      </c>
      <c r="E8" t="s">
        <v>85</v>
      </c>
    </row>
    <row r="9">
      <c r="B9" t="s">
        <v>516</v>
      </c>
      <c r="C9" t="s">
        <v>60</v>
      </c>
      <c r="D9" s="1">
        <v>606.677</v>
      </c>
      <c r="E9" t="s">
        <v>204</v>
      </c>
    </row>
    <row r="10" ht="15.75" customHeight="1">
      <c r="B10" t="s">
        <v>517</v>
      </c>
      <c r="C10" t="s">
        <v>518</v>
      </c>
      <c r="D10" s="1">
        <v>1311.6490000000001</v>
      </c>
      <c r="E10" t="s">
        <v>323</v>
      </c>
    </row>
    <row r="11" ht="15.75" customHeight="1">
      <c r="B11" t="s">
        <v>519</v>
      </c>
      <c r="C11" t="s">
        <v>520</v>
      </c>
      <c r="D11" s="1">
        <v>0</v>
      </c>
      <c r="E11" t="s">
        <v>323</v>
      </c>
    </row>
    <row r="12" hidden="1" ht="15.75" customHeight="1">
      <c r="B12" t="s">
        <v>521</v>
      </c>
      <c r="C12" t="s">
        <v>522</v>
      </c>
      <c r="D12" s="1">
        <v>2.1620219655599273</v>
      </c>
      <c r="E12" t="s">
        <v>85</v>
      </c>
    </row>
    <row r="13" hidden="1" ht="15.75" customHeight="1">
      <c r="B13" t="s">
        <v>523</v>
      </c>
      <c r="C13" t="s">
        <v>524</v>
      </c>
      <c r="D13" s="1">
        <v>0</v>
      </c>
      <c r="E13" t="s">
        <v>85</v>
      </c>
    </row>
    <row r="14" hidden="1" ht="15.75" customHeight="1">
      <c r="B14" s="1" t="s">
        <v>525</v>
      </c>
      <c r="D14" s="1">
        <v>2.1620219655599273</v>
      </c>
      <c r="E14" s="1" t="s">
        <v>526</v>
      </c>
    </row>
    <row r="15" hidden="1" ht="15.75" customHeight="1">
      <c r="B15" s="1" t="s">
        <v>527</v>
      </c>
      <c r="D15" s="1">
        <v>0</v>
      </c>
    </row>
    <row r="16" hidden="1" ht="12.75" customHeight="1">
      <c r="B16" s="1" t="s">
        <v>528</v>
      </c>
      <c r="D16" s="1">
        <v>1</v>
      </c>
    </row>
    <row r="17" hidden="1">
      <c r="B17" s="1" t="s">
        <v>529</v>
      </c>
      <c r="D17" s="1">
        <v>0</v>
      </c>
    </row>
    <row r="18" ht="15.75" customHeight="1">
      <c r="B18" t="s">
        <v>530</v>
      </c>
      <c r="E18" s="1">
        <v>0</v>
      </c>
      <c r="F18" s="1" t="s">
        <v>389</v>
      </c>
      <c r="G18" s="1">
        <v>0</v>
      </c>
      <c r="H18" t="s">
        <v>271</v>
      </c>
    </row>
    <row r="19" ht="15" customHeight="1">
      <c r="B19" t="s">
        <v>531</v>
      </c>
      <c r="E19" s="1">
        <v>189.58656249999999</v>
      </c>
      <c r="F19" s="1" t="s">
        <v>280</v>
      </c>
    </row>
    <row r="20" ht="13.5" customHeight="1">
      <c r="C20" s="1">
        <v>200</v>
      </c>
      <c r="D20" t="s">
        <v>1090</v>
      </c>
    </row>
    <row r="21" ht="14.25" customHeight="1">
      <c r="B21" t="s">
        <v>532</v>
      </c>
      <c r="E21" s="1">
        <v>189.58656249999999</v>
      </c>
      <c r="F21" s="1" t="s">
        <v>280</v>
      </c>
    </row>
    <row r="22" ht="14.25" customHeight="1">
      <c r="B22" t="s">
        <v>533</v>
      </c>
      <c r="E22" s="1">
        <v>189.58656249999999</v>
      </c>
      <c r="F22" s="1" t="s">
        <v>280</v>
      </c>
    </row>
    <row r="23" ht="15" customHeight="1">
      <c r="B23" t="s">
        <v>534</v>
      </c>
      <c r="E23" s="1">
        <v>0</v>
      </c>
      <c r="F23" s="2" t="s">
        <v>85</v>
      </c>
    </row>
    <row r="24" ht="14.25" customHeight="1">
      <c r="B24" t="s">
        <v>535</v>
      </c>
      <c r="E24" s="1">
        <v>189.58656249999999</v>
      </c>
      <c r="F24" s="1" t="s">
        <v>280</v>
      </c>
    </row>
    <row r="25" ht="14.25" customHeight="1">
      <c r="B25" t="s">
        <v>536</v>
      </c>
      <c r="E25" s="1">
        <v>189.58656249999999</v>
      </c>
      <c r="F25" s="1" t="s">
        <v>280</v>
      </c>
    </row>
    <row r="26" ht="14.25" customHeight="1">
      <c r="B26" t="s">
        <v>537</v>
      </c>
      <c r="E26" s="1">
        <v>0</v>
      </c>
      <c r="F26" s="1" t="s">
        <v>389</v>
      </c>
    </row>
    <row r="27" ht="25.5" customHeight="1">
      <c r="B27" t="s">
        <v>538</v>
      </c>
      <c r="E27" s="1">
        <v>0</v>
      </c>
      <c r="F27" s="2" t="s">
        <v>85</v>
      </c>
    </row>
    <row r="28">
      <c r="B28" t="s">
        <v>1413</v>
      </c>
      <c r="E28" s="1">
        <v>0</v>
      </c>
      <c r="F28" s="1" t="s">
        <v>323</v>
      </c>
    </row>
    <row r="29">
      <c r="B29" t="s">
        <v>540</v>
      </c>
      <c r="E29" t="s">
        <v>427</v>
      </c>
    </row>
    <row r="30">
      <c r="B30" t="s">
        <v>541</v>
      </c>
      <c r="E30">
        <v>10</v>
      </c>
      <c r="F30" t="s">
        <v>232</v>
      </c>
    </row>
    <row r="31">
      <c r="B31" t="s">
        <v>85</v>
      </c>
      <c r="E31" s="1">
        <v>9.333333333333334</v>
      </c>
    </row>
    <row r="32">
      <c r="B32" t="s">
        <v>542</v>
      </c>
      <c r="E32">
        <v>200</v>
      </c>
    </row>
    <row r="33">
      <c r="B33" t="s">
        <v>543</v>
      </c>
      <c r="E33" s="2">
        <v>0.3181818181818182</v>
      </c>
    </row>
    <row r="34">
      <c r="B34" t="s">
        <v>544</v>
      </c>
      <c r="E34" s="2">
        <v>0.8939393939393939</v>
      </c>
    </row>
    <row r="35">
      <c r="B35" t="s">
        <v>173</v>
      </c>
      <c r="E35" s="2">
        <v>1.4221763085399448</v>
      </c>
    </row>
    <row r="36" ht="13.5" customHeight="1">
      <c r="B36" t="s">
        <v>545</v>
      </c>
      <c r="E36" s="4">
        <v>0</v>
      </c>
      <c r="F36" t="s">
        <v>230</v>
      </c>
    </row>
    <row r="37" ht="13.5" customHeight="1">
      <c r="B37" t="s">
        <v>546</v>
      </c>
      <c r="E37" s="4">
        <v>500</v>
      </c>
      <c r="F37" t="s">
        <v>230</v>
      </c>
    </row>
    <row r="38">
      <c r="B38" t="s">
        <v>547</v>
      </c>
      <c r="E38" s="4">
        <v>50</v>
      </c>
      <c r="F38" t="s">
        <v>230</v>
      </c>
    </row>
    <row r="39">
      <c r="B39" t="s">
        <v>548</v>
      </c>
      <c r="E39" s="4">
        <v>16</v>
      </c>
      <c r="F39" t="s">
        <v>230</v>
      </c>
    </row>
    <row r="40">
      <c r="B40" t="s">
        <v>549</v>
      </c>
      <c r="E40" s="4">
        <v>442</v>
      </c>
      <c r="F40" t="s">
        <v>230</v>
      </c>
    </row>
    <row r="41">
      <c r="B41" t="s">
        <v>550</v>
      </c>
      <c r="E41">
        <v>442</v>
      </c>
      <c r="F41" t="s">
        <v>230</v>
      </c>
    </row>
    <row r="42" ht="14.25" customHeight="1">
      <c r="B42" t="s">
        <v>551</v>
      </c>
      <c r="E42" s="4">
        <v>0</v>
      </c>
      <c r="F42" t="s">
        <v>457</v>
      </c>
    </row>
    <row r="43" ht="14.25" customHeight="1">
      <c r="B43" t="s">
        <v>552</v>
      </c>
      <c r="E43" s="4">
        <v>200.96</v>
      </c>
      <c r="F43" t="s">
        <v>457</v>
      </c>
    </row>
    <row r="44">
      <c r="B44" t="s">
        <v>553</v>
      </c>
      <c r="E44" s="4" t="e">
        <v>#DIV/0!</v>
      </c>
      <c r="F44" t="s">
        <v>230</v>
      </c>
    </row>
    <row r="45">
      <c r="B45" t="s">
        <v>554</v>
      </c>
      <c r="C45" s="4">
        <v>16</v>
      </c>
      <c r="D45" t="s">
        <v>230</v>
      </c>
      <c r="E45" s="4">
        <v>150</v>
      </c>
      <c r="F45" t="s">
        <v>230</v>
      </c>
      <c r="G45" t="s">
        <v>1105</v>
      </c>
    </row>
    <row r="46" ht="14.25" customHeight="1">
      <c r="B46" t="s">
        <v>556</v>
      </c>
      <c r="E46" s="4">
        <v>884</v>
      </c>
      <c r="F46" t="s">
        <v>457</v>
      </c>
    </row>
    <row r="47" ht="21" customHeight="1">
      <c r="B47" t="s">
        <v>557</v>
      </c>
      <c r="E47" s="4">
        <v>16</v>
      </c>
      <c r="F47" t="s">
        <v>230</v>
      </c>
    </row>
    <row r="48" ht="14.25" customHeight="1">
      <c r="B48" t="s">
        <v>558</v>
      </c>
      <c r="E48">
        <v>200.96</v>
      </c>
      <c r="F48" t="s">
        <v>457</v>
      </c>
    </row>
    <row r="49">
      <c r="B49" t="s">
        <v>559</v>
      </c>
      <c r="E49" s="4">
        <v>227.33031674208144</v>
      </c>
      <c r="F49" t="s">
        <v>230</v>
      </c>
    </row>
    <row r="50">
      <c r="B50" t="s">
        <v>554</v>
      </c>
      <c r="C50">
        <v>16</v>
      </c>
      <c r="D50" t="s">
        <v>230</v>
      </c>
      <c r="E50">
        <v>220</v>
      </c>
      <c r="F50" t="s">
        <v>230</v>
      </c>
      <c r="G50" t="s">
        <v>1414</v>
      </c>
    </row>
    <row r="51"/>
    <row r="52" ht="25.5" customHeight="1">
      <c r="B52" t="s">
        <v>560</v>
      </c>
      <c r="C52">
        <v>12</v>
      </c>
      <c r="D52" t="s">
        <v>230</v>
      </c>
      <c r="E52">
        <v>150</v>
      </c>
      <c r="F52" t="s">
        <v>230</v>
      </c>
    </row>
    <row r="53" ht="25.5" customHeight="1">
      <c r="B53" t="s">
        <v>561</v>
      </c>
      <c r="C53">
        <v>12</v>
      </c>
      <c r="D53" t="s">
        <v>230</v>
      </c>
      <c r="E53">
        <v>150</v>
      </c>
      <c r="F53" t="s">
        <v>230</v>
      </c>
    </row>
    <row r="54" ht="14.25" customHeight="1">
      <c r="A54" t="s">
        <v>562</v>
      </c>
      <c r="C54" t="s">
        <v>563</v>
      </c>
    </row>
    <row r="55">
      <c r="B55" t="s">
        <v>564</v>
      </c>
      <c r="E55">
        <v>442</v>
      </c>
      <c r="F55" t="s">
        <v>230</v>
      </c>
    </row>
    <row r="56">
      <c r="B56" t="s">
        <v>565</v>
      </c>
      <c r="E56" s="1">
        <v>-0.442</v>
      </c>
      <c r="F56" t="s">
        <v>85</v>
      </c>
    </row>
    <row r="57" ht="14.25" customHeight="1">
      <c r="B57" t="s">
        <v>533</v>
      </c>
      <c r="E57" s="1">
        <v>189.58656249999999</v>
      </c>
      <c r="F57" s="1" t="s">
        <v>280</v>
      </c>
    </row>
    <row r="58" ht="14.25" customHeight="1">
      <c r="B58" t="s">
        <v>566</v>
      </c>
      <c r="E58" s="1">
        <v>189.58656249999999</v>
      </c>
      <c r="F58" s="1" t="s">
        <v>280</v>
      </c>
    </row>
    <row r="59" ht="14.25" customHeight="1">
      <c r="B59" t="s">
        <v>536</v>
      </c>
      <c r="E59" s="1">
        <v>189.58656249999999</v>
      </c>
      <c r="F59" s="1" t="s">
        <v>280</v>
      </c>
    </row>
    <row r="60">
      <c r="B60" t="s">
        <v>567</v>
      </c>
      <c r="E60" s="1">
        <v>-83.79726062499999</v>
      </c>
      <c r="F60" t="s">
        <v>204</v>
      </c>
    </row>
    <row r="61">
      <c r="B61" t="s">
        <v>568</v>
      </c>
      <c r="C61" t="s">
        <v>569</v>
      </c>
    </row>
    <row r="62" ht="14.25" customHeight="1">
      <c r="B62" t="s">
        <v>570</v>
      </c>
      <c r="E62" s="1">
        <v>-0.18958656249999997</v>
      </c>
      <c r="F62" s="1" t="s">
        <v>232</v>
      </c>
    </row>
    <row r="63">
      <c r="B63" t="s">
        <v>571</v>
      </c>
      <c r="C63" t="s">
        <v>572</v>
      </c>
      <c r="E63" s="1">
        <v>0.30310708898944194</v>
      </c>
    </row>
    <row r="64" ht="14.25" customHeight="1">
      <c r="B64" t="s">
        <v>573</v>
      </c>
      <c r="E64" s="1">
        <v>0.23</v>
      </c>
      <c r="F64" s="1" t="s">
        <v>232</v>
      </c>
    </row>
    <row r="65">
      <c r="B65" t="s">
        <v>574</v>
      </c>
    </row>
    <row r="66" ht="14.25" customHeight="1">
      <c r="B66" t="s">
        <v>575</v>
      </c>
      <c r="E66" s="1">
        <v>0.23</v>
      </c>
      <c r="F66" s="1" t="s">
        <v>232</v>
      </c>
    </row>
    <row r="67" ht="26.25" customHeight="1">
      <c r="D67" t="s">
        <v>576</v>
      </c>
    </row>
    <row r="68" ht="21" customHeight="1">
      <c r="B68" t="s">
        <v>577</v>
      </c>
      <c r="E68">
        <v>12</v>
      </c>
      <c r="F68" t="s">
        <v>230</v>
      </c>
    </row>
    <row r="69" ht="14.25" customHeight="1">
      <c r="B69" t="s">
        <v>558</v>
      </c>
      <c r="E69" s="4">
        <v>113.03999999999999</v>
      </c>
      <c r="F69" t="s">
        <v>457</v>
      </c>
    </row>
    <row r="70">
      <c r="B70" t="s">
        <v>578</v>
      </c>
      <c r="E70" s="4">
        <v>-238.49791569484256</v>
      </c>
      <c r="F70" t="s">
        <v>230</v>
      </c>
    </row>
    <row r="71">
      <c r="B71" t="s">
        <v>554</v>
      </c>
      <c r="C71">
        <v>12</v>
      </c>
      <c r="D71" t="s">
        <v>230</v>
      </c>
      <c r="E71">
        <v>250</v>
      </c>
      <c r="F71" t="s">
        <v>230</v>
      </c>
      <c r="G71" t="s">
        <v>555</v>
      </c>
    </row>
    <row r="73">
      <c r="C73" t="s">
        <v>1415</v>
      </c>
      <c r="E73">
        <v>900</v>
      </c>
      <c r="F73" t="s">
        <v>465</v>
      </c>
    </row>
    <row r="74">
      <c r="C74" t="s">
        <v>1416</v>
      </c>
      <c r="D74" s="1">
        <v>3.2</v>
      </c>
      <c r="E74" t="s">
        <v>91</v>
      </c>
      <c r="F74">
        <v>0.5</v>
      </c>
      <c r="G74" t="s">
        <v>92</v>
      </c>
    </row>
  </sheetData>
  <mergeCells count="3">
    <mergeCell ref="A1:N1"/>
    <mergeCell ref="E14:G17"/>
    <mergeCell ref="D67:G67"/>
  </mergeCells>
  <pageMargins left="0.75" right="0.75" top="1" bottom="1" header="0.5" footer="0.5"/>
  <ignoredErrors>
    <ignoredError numberStoredAsText="1" sqref="A1:N74"/>
  </ignoredErrors>
</worksheet>
</file>

<file path=xl/worksheets/sheet36.xml><?xml version="1.0" encoding="utf-8"?>
<worksheet xmlns="http://schemas.openxmlformats.org/spreadsheetml/2006/main" xmlns:r="http://schemas.openxmlformats.org/officeDocument/2006/relationships">
  <dimension ref="A1:U113"/>
  <sheetViews>
    <sheetView workbookViewId="0" rightToLeft="0"/>
  </sheetViews>
  <cols>
    <col min="1" max="1" customWidth="1" width="6.7109375"/>
    <col min="2" max="2" customWidth="1" width="34.42578125"/>
    <col min="3" max="3" customWidth="1" width="15.5703125"/>
    <col min="4" max="4" customWidth="1" width="11.85546875"/>
    <col min="5" max="5" customWidth="1" width="12.5703125"/>
    <col min="6" max="6" customWidth="1" width="8.28515625"/>
    <col min="7" max="7" customWidth="1" width="7"/>
    <col min="8" max="8" customWidth="1" width="9.42578125"/>
    <col min="9" max="9" customWidth="1" width="5"/>
    <col min="10" max="10" customWidth="1" width="6.5703125"/>
    <col min="11" max="11" customWidth="1" width="2.5703125"/>
    <col min="12" max="12" customWidth="1" width="7.5703125"/>
    <col min="13" max="13" customWidth="1" width="2.85546875"/>
    <col min="14" max="14" customWidth="1" width="7.5703125"/>
    <col min="15" max="15" customWidth="1" width="11.85546875"/>
  </cols>
  <sheetData>
    <row r="1">
      <c r="A1" t="s">
        <v>1417</v>
      </c>
    </row>
    <row r="2">
      <c r="A2" t="s">
        <v>425</v>
      </c>
    </row>
    <row r="3">
      <c r="B3" t="s">
        <v>380</v>
      </c>
    </row>
    <row r="4">
      <c r="B4" s="1" t="s">
        <v>1086</v>
      </c>
      <c r="C4" s="1" t="s">
        <v>53</v>
      </c>
      <c r="D4" s="1">
        <v>606.677</v>
      </c>
      <c r="E4" s="1" t="s">
        <v>204</v>
      </c>
    </row>
    <row r="5">
      <c r="B5" s="1" t="s">
        <v>1418</v>
      </c>
    </row>
    <row r="6">
      <c r="B6" s="1" t="s">
        <v>346</v>
      </c>
      <c r="C6" s="1" t="e">
        <v>#REF!</v>
      </c>
      <c r="D6" s="1" t="s">
        <v>347</v>
      </c>
      <c r="E6" s="1">
        <v>1311.6490000000001</v>
      </c>
      <c r="F6" s="1" t="s">
        <v>323</v>
      </c>
    </row>
    <row r="7" ht="25.5" customHeight="1">
      <c r="B7" s="1" t="s">
        <v>1419</v>
      </c>
      <c r="C7" s="1" t="s">
        <v>53</v>
      </c>
      <c r="D7" s="1">
        <v>423.33568130580323</v>
      </c>
      <c r="E7" s="1" t="s">
        <v>148</v>
      </c>
      <c r="F7" s="1">
        <v>244.25331736526948</v>
      </c>
      <c r="G7" s="1" t="s">
        <v>53</v>
      </c>
      <c r="H7" s="1">
        <v>667.5889986710727</v>
      </c>
      <c r="I7" s="1" t="s">
        <v>323</v>
      </c>
    </row>
    <row r="8" ht="25.5" customHeight="1">
      <c r="B8" s="1" t="s">
        <v>1420</v>
      </c>
      <c r="C8" s="1" t="s">
        <v>53</v>
      </c>
      <c r="D8" s="1">
        <v>423.33568130580323</v>
      </c>
      <c r="E8" s="1" t="s">
        <v>148</v>
      </c>
      <c r="F8" s="1">
        <v>1123.9405976047906</v>
      </c>
      <c r="G8" s="1" t="s">
        <v>53</v>
      </c>
      <c r="H8" s="1">
        <v>1547.2762789105939</v>
      </c>
      <c r="I8" s="1" t="s">
        <v>323</v>
      </c>
    </row>
    <row r="9">
      <c r="F9" s="1" t="s">
        <v>1421</v>
      </c>
    </row>
    <row r="10"/>
    <row r="11">
      <c r="B11" s="1" t="s">
        <v>1422</v>
      </c>
      <c r="C11" s="1" t="s">
        <v>53</v>
      </c>
      <c r="D11" s="1">
        <v>1547.2762789105939</v>
      </c>
      <c r="G11" s="1" t="s">
        <v>53</v>
      </c>
      <c r="H11" s="1">
        <v>1547.2762789105939</v>
      </c>
      <c r="I11" s="1" t="s">
        <v>323</v>
      </c>
    </row>
    <row r="12">
      <c r="B12" s="1" t="s">
        <v>1423</v>
      </c>
      <c r="C12" s="1" t="s">
        <v>53</v>
      </c>
      <c r="D12" s="1">
        <v>1311.6490000000001</v>
      </c>
      <c r="E12" s="1" t="s">
        <v>148</v>
      </c>
      <c r="F12" s="1">
        <v>667.5889986710727</v>
      </c>
      <c r="G12" s="1" t="s">
        <v>53</v>
      </c>
      <c r="H12" s="1">
        <v>1979.2379986710728</v>
      </c>
      <c r="I12" s="1" t="s">
        <v>323</v>
      </c>
    </row>
    <row r="13">
      <c r="B13" t="s">
        <v>426</v>
      </c>
      <c r="D13" t="s">
        <v>427</v>
      </c>
    </row>
    <row r="14">
      <c r="B14" t="s">
        <v>428</v>
      </c>
      <c r="F14">
        <v>415</v>
      </c>
      <c r="G14" t="s">
        <v>232</v>
      </c>
    </row>
    <row r="15">
      <c r="B15" t="s">
        <v>429</v>
      </c>
    </row>
    <row r="16">
      <c r="B16" t="s">
        <v>430</v>
      </c>
      <c r="D16">
        <v>190</v>
      </c>
    </row>
    <row r="17">
      <c r="B17" t="s">
        <v>431</v>
      </c>
    </row>
    <row r="18" ht="25.5" customHeight="1">
      <c r="B18" t="s">
        <v>432</v>
      </c>
      <c r="D18" t="s">
        <v>433</v>
      </c>
      <c r="E18" s="1" t="s">
        <v>53</v>
      </c>
      <c r="F18">
        <v>30</v>
      </c>
      <c r="G18" t="s">
        <v>232</v>
      </c>
    </row>
    <row r="19" ht="25.5" customHeight="1">
      <c r="B19" t="s">
        <v>434</v>
      </c>
      <c r="D19" t="s">
        <v>435</v>
      </c>
      <c r="E19" s="1" t="s">
        <v>53</v>
      </c>
      <c r="F19">
        <v>8</v>
      </c>
      <c r="G19" t="s">
        <v>232</v>
      </c>
    </row>
    <row r="20" ht="25.5" customHeight="1">
      <c r="B20" t="s">
        <v>436</v>
      </c>
      <c r="D20" t="s">
        <v>437</v>
      </c>
      <c r="E20" s="1" t="s">
        <v>53</v>
      </c>
      <c r="F20">
        <v>8</v>
      </c>
      <c r="G20" t="s">
        <v>232</v>
      </c>
    </row>
    <row r="21">
      <c r="D21" t="s">
        <v>438</v>
      </c>
      <c r="E21" s="1" t="s">
        <v>53</v>
      </c>
      <c r="F21">
        <v>3.6</v>
      </c>
      <c r="G21" t="s">
        <v>232</v>
      </c>
    </row>
    <row r="22" ht="15.75" customHeight="1">
      <c r="B22" t="s">
        <v>439</v>
      </c>
      <c r="C22" t="s">
        <v>53</v>
      </c>
      <c r="D22">
        <v>1.5</v>
      </c>
      <c r="E22" s="1" t="s">
        <v>440</v>
      </c>
      <c r="F22" s="1">
        <v>606.677</v>
      </c>
      <c r="G22" t="s">
        <v>53</v>
      </c>
      <c r="H22">
        <v>910.0155</v>
      </c>
      <c r="I22" t="s">
        <v>204</v>
      </c>
    </row>
    <row r="23" ht="15.75" customHeight="1">
      <c r="B23" t="s">
        <v>441</v>
      </c>
      <c r="C23" t="s">
        <v>53</v>
      </c>
      <c r="D23">
        <v>1.5</v>
      </c>
      <c r="E23" s="1" t="s">
        <v>440</v>
      </c>
      <c r="F23" s="1">
        <v>1979.2379986710728</v>
      </c>
      <c r="G23" t="s">
        <v>53</v>
      </c>
      <c r="H23">
        <v>2968.856998006609</v>
      </c>
      <c r="I23" t="s">
        <v>323</v>
      </c>
    </row>
    <row r="24" ht="15.75" customHeight="1">
      <c r="B24" t="s">
        <v>442</v>
      </c>
      <c r="C24" t="s">
        <v>53</v>
      </c>
      <c r="D24">
        <v>1.5</v>
      </c>
      <c r="E24" s="1" t="s">
        <v>440</v>
      </c>
      <c r="F24" s="1">
        <v>1547.2762789105939</v>
      </c>
      <c r="G24" t="s">
        <v>53</v>
      </c>
      <c r="H24">
        <v>2320.914418365891</v>
      </c>
      <c r="I24" t="s">
        <v>323</v>
      </c>
    </row>
    <row r="25">
      <c r="B25" t="s">
        <v>443</v>
      </c>
      <c r="F25">
        <v>33.33</v>
      </c>
      <c r="G25" t="s">
        <v>271</v>
      </c>
    </row>
    <row r="26">
      <c r="B26" t="s">
        <v>444</v>
      </c>
    </row>
    <row r="27">
      <c r="C27" s="4">
        <v>1000</v>
      </c>
      <c r="D27" t="s">
        <v>445</v>
      </c>
      <c r="E27">
        <v>1050</v>
      </c>
      <c r="F27" t="s">
        <v>230</v>
      </c>
    </row>
    <row r="28">
      <c r="C28" t="s">
        <v>446</v>
      </c>
      <c r="D28">
        <v>75</v>
      </c>
    </row>
    <row r="29" ht="14.25" customHeight="1">
      <c r="B29" t="s">
        <v>447</v>
      </c>
      <c r="C29" t="s">
        <v>53</v>
      </c>
      <c r="D29">
        <v>83</v>
      </c>
      <c r="E29" t="s">
        <v>107</v>
      </c>
      <c r="F29">
        <v>1050</v>
      </c>
      <c r="G29" t="s">
        <v>53</v>
      </c>
      <c r="H29" s="8">
        <v>0.07904761904761905</v>
      </c>
    </row>
    <row r="30" ht="15.75" customHeight="1">
      <c r="B30" t="s">
        <v>448</v>
      </c>
      <c r="C30" t="s">
        <v>53</v>
      </c>
      <c r="D30" s="1">
        <v>910.0155</v>
      </c>
      <c r="E30" t="s">
        <v>91</v>
      </c>
      <c r="F30">
        <v>1000</v>
      </c>
      <c r="G30" t="s">
        <v>449</v>
      </c>
      <c r="H30">
        <v>30</v>
      </c>
      <c r="I30" t="s">
        <v>91</v>
      </c>
      <c r="J30">
        <v>1000</v>
      </c>
      <c r="K30" t="s">
        <v>199</v>
      </c>
      <c r="L30">
        <v>1050</v>
      </c>
      <c r="M30" t="s">
        <v>105</v>
      </c>
    </row>
    <row r="31">
      <c r="C31" t="s">
        <v>53</v>
      </c>
      <c r="D31" s="8">
        <v>0.02888938095238095</v>
      </c>
    </row>
    <row r="32">
      <c r="B32" t="s">
        <v>450</v>
      </c>
    </row>
    <row r="33" ht="15.75" customHeight="1">
      <c r="B33" t="s">
        <v>451</v>
      </c>
      <c r="C33" t="s">
        <v>53</v>
      </c>
      <c r="D33" s="1">
        <v>2968.856998006609</v>
      </c>
      <c r="E33" t="s">
        <v>91</v>
      </c>
      <c r="F33">
        <v>1000000</v>
      </c>
      <c r="G33" t="s">
        <v>449</v>
      </c>
      <c r="H33">
        <v>30</v>
      </c>
      <c r="I33" t="s">
        <v>91</v>
      </c>
      <c r="J33">
        <v>1000</v>
      </c>
      <c r="K33" t="s">
        <v>199</v>
      </c>
      <c r="L33">
        <v>1050</v>
      </c>
      <c r="M33" t="s">
        <v>452</v>
      </c>
    </row>
    <row r="34">
      <c r="C34" t="s">
        <v>53</v>
      </c>
      <c r="D34" s="8">
        <v>0.08976136048394888</v>
      </c>
    </row>
    <row r="35" ht="31.5" customHeight="1">
      <c r="B35" t="s">
        <v>453</v>
      </c>
    </row>
    <row r="36" ht="12.75" customHeight="1">
      <c r="B36" t="s">
        <v>454</v>
      </c>
    </row>
    <row r="37">
      <c r="B37" t="s">
        <v>455</v>
      </c>
    </row>
    <row r="39">
      <c r="B39" t="s">
        <v>456</v>
      </c>
      <c r="D39" s="1">
        <v>910.0155</v>
      </c>
      <c r="E39" s="1" t="s">
        <v>91</v>
      </c>
      <c r="F39" s="4">
        <v>1000</v>
      </c>
      <c r="G39" t="s">
        <v>107</v>
      </c>
      <c r="H39">
        <v>8</v>
      </c>
    </row>
    <row r="40" ht="14.25" customHeight="1">
      <c r="C40" t="s">
        <v>53</v>
      </c>
      <c r="D40" s="4">
        <v>113751.9375</v>
      </c>
      <c r="E40" t="s">
        <v>457</v>
      </c>
    </row>
    <row r="41">
      <c r="B41" t="s">
        <v>458</v>
      </c>
      <c r="C41">
        <v>0.8</v>
      </c>
      <c r="D41" t="s">
        <v>91</v>
      </c>
      <c r="E41" s="4">
        <v>113751.9375</v>
      </c>
      <c r="F41" t="s">
        <v>107</v>
      </c>
      <c r="G41">
        <v>100</v>
      </c>
    </row>
    <row r="42" ht="14.25" customHeight="1">
      <c r="C42" t="s">
        <v>53</v>
      </c>
      <c r="D42" s="4">
        <v>910.0155</v>
      </c>
      <c r="E42" t="s">
        <v>457</v>
      </c>
    </row>
    <row r="44">
      <c r="B44" t="s">
        <v>459</v>
      </c>
    </row>
    <row r="45">
      <c r="B45" t="s">
        <v>460</v>
      </c>
      <c r="C45">
        <v>0.3</v>
      </c>
      <c r="D45" t="s">
        <v>91</v>
      </c>
      <c r="E45">
        <v>1000</v>
      </c>
      <c r="F45" t="s">
        <v>199</v>
      </c>
      <c r="G45">
        <v>1050</v>
      </c>
      <c r="H45" t="s">
        <v>107</v>
      </c>
      <c r="I45">
        <v>100</v>
      </c>
    </row>
    <row r="46" ht="14.25" customHeight="1">
      <c r="C46" t="s">
        <v>53</v>
      </c>
      <c r="D46" s="4">
        <v>3150</v>
      </c>
      <c r="E46" t="s">
        <v>457</v>
      </c>
    </row>
    <row r="47" ht="14.25" customHeight="1">
      <c r="B47" t="s">
        <v>461</v>
      </c>
      <c r="C47" t="s">
        <v>53</v>
      </c>
      <c r="D47" s="4">
        <v>3150</v>
      </c>
      <c r="E47" t="s">
        <v>457</v>
      </c>
    </row>
    <row r="48">
      <c r="B48" t="s">
        <v>462</v>
      </c>
      <c r="C48">
        <v>16</v>
      </c>
      <c r="D48" t="s">
        <v>463</v>
      </c>
      <c r="E48" t="s">
        <v>53</v>
      </c>
      <c r="F48" s="4">
        <v>15.674761146496815</v>
      </c>
      <c r="G48" t="s">
        <v>238</v>
      </c>
    </row>
    <row r="49">
      <c r="B49" t="s">
        <v>464</v>
      </c>
      <c r="C49" t="s">
        <v>53</v>
      </c>
      <c r="D49" s="4">
        <v>260</v>
      </c>
      <c r="E49" t="s">
        <v>465</v>
      </c>
    </row>
    <row r="50">
      <c r="B50" t="s">
        <v>466</v>
      </c>
    </row>
    <row r="52" ht="15.75" customHeight="1">
      <c r="B52" t="s">
        <v>451</v>
      </c>
      <c r="C52" t="s">
        <v>53</v>
      </c>
      <c r="D52" s="1">
        <v>2320.914418365891</v>
      </c>
      <c r="E52" t="s">
        <v>91</v>
      </c>
      <c r="F52">
        <v>1000000</v>
      </c>
      <c r="G52" t="s">
        <v>449</v>
      </c>
      <c r="H52">
        <v>30</v>
      </c>
      <c r="I52" t="s">
        <v>91</v>
      </c>
    </row>
    <row r="53" ht="14.25" customHeight="1">
      <c r="E53">
        <v>1000</v>
      </c>
      <c r="F53" t="s">
        <v>199</v>
      </c>
      <c r="G53">
        <v>1050</v>
      </c>
      <c r="H53" t="s">
        <v>452</v>
      </c>
    </row>
    <row r="54">
      <c r="C54" t="s">
        <v>53</v>
      </c>
      <c r="D54" s="8">
        <v>0.07017125981453941</v>
      </c>
    </row>
    <row r="55" ht="29.25" customHeight="1">
      <c r="B55" t="s">
        <v>453</v>
      </c>
    </row>
    <row r="56">
      <c r="B56" t="s">
        <v>467</v>
      </c>
    </row>
    <row r="57">
      <c r="B57" t="s">
        <v>468</v>
      </c>
    </row>
    <row r="58">
      <c r="C58" s="1">
        <v>2320.914418365891</v>
      </c>
      <c r="D58" s="4" t="s">
        <v>107</v>
      </c>
      <c r="E58" s="1">
        <v>4.498000000000005</v>
      </c>
      <c r="F58" s="2" t="s">
        <v>53</v>
      </c>
      <c r="G58" s="1">
        <v>515.9880876758311</v>
      </c>
      <c r="H58" t="s">
        <v>204</v>
      </c>
    </row>
    <row r="59">
      <c r="A59" t="s">
        <v>469</v>
      </c>
    </row>
    <row r="60">
      <c r="B60" t="s">
        <v>470</v>
      </c>
      <c r="C60" s="1">
        <v>515.9880876758311</v>
      </c>
      <c r="D60" s="1" t="s">
        <v>91</v>
      </c>
      <c r="E60">
        <v>1000</v>
      </c>
      <c r="F60" s="1" t="s">
        <v>449</v>
      </c>
      <c r="G60">
        <v>1000</v>
      </c>
      <c r="H60" s="1" t="s">
        <v>91</v>
      </c>
      <c r="I60">
        <v>1050</v>
      </c>
      <c r="J60" t="s">
        <v>105</v>
      </c>
    </row>
    <row r="61" ht="14.25" customHeight="1">
      <c r="C61" t="s">
        <v>53</v>
      </c>
      <c r="D61" s="1">
        <v>0.49141722635793444</v>
      </c>
      <c r="E61" t="s">
        <v>232</v>
      </c>
    </row>
    <row r="62">
      <c r="B62" t="s">
        <v>471</v>
      </c>
      <c r="C62" s="1">
        <v>0.3</v>
      </c>
    </row>
    <row r="63" ht="14.25" customHeight="1">
      <c r="B63" t="s">
        <v>472</v>
      </c>
      <c r="C63" s="1">
        <v>0.4</v>
      </c>
      <c r="D63" t="s">
        <v>232</v>
      </c>
      <c r="E63" t="s">
        <v>473</v>
      </c>
    </row>
    <row r="64">
      <c r="B64" t="s">
        <v>474</v>
      </c>
    </row>
    <row r="65">
      <c r="B65" t="s">
        <v>475</v>
      </c>
    </row>
    <row r="66" ht="14.25" customHeight="1">
      <c r="B66" t="s">
        <v>476</v>
      </c>
      <c r="C66" t="s">
        <v>53</v>
      </c>
      <c r="D66" s="4">
        <v>16</v>
      </c>
      <c r="E66" t="s">
        <v>107</v>
      </c>
      <c r="F66">
        <v>4</v>
      </c>
      <c r="G66" t="s">
        <v>53</v>
      </c>
      <c r="H66">
        <v>4</v>
      </c>
      <c r="I66" t="s">
        <v>230</v>
      </c>
    </row>
    <row r="67">
      <c r="B67" t="s">
        <v>477</v>
      </c>
      <c r="C67">
        <v>12</v>
      </c>
      <c r="D67" s="8" t="s">
        <v>478</v>
      </c>
    </row>
    <row r="68">
      <c r="B68" t="s">
        <v>479</v>
      </c>
    </row>
    <row r="69">
      <c r="B69" t="s">
        <v>480</v>
      </c>
      <c r="C69">
        <v>1050</v>
      </c>
      <c r="D69" t="s">
        <v>230</v>
      </c>
    </row>
    <row r="70">
      <c r="B70" t="s">
        <v>481</v>
      </c>
      <c r="C70">
        <v>12</v>
      </c>
      <c r="D70" s="1" t="s">
        <v>91</v>
      </c>
      <c r="E70" s="4">
        <v>12</v>
      </c>
      <c r="F70" s="1" t="s">
        <v>53</v>
      </c>
      <c r="G70" s="4">
        <v>144</v>
      </c>
      <c r="H70" s="4" t="s">
        <v>230</v>
      </c>
    </row>
    <row r="71">
      <c r="B71" t="s">
        <v>482</v>
      </c>
      <c r="C71">
        <v>300</v>
      </c>
      <c r="D71" s="8" t="s">
        <v>230</v>
      </c>
    </row>
    <row r="72">
      <c r="B72" t="s">
        <v>483</v>
      </c>
      <c r="C72" t="s">
        <v>484</v>
      </c>
      <c r="D72" s="4">
        <v>100</v>
      </c>
      <c r="E72" s="1" t="s">
        <v>230</v>
      </c>
    </row>
    <row r="73" ht="14.25" customHeight="1">
      <c r="B73" t="s">
        <v>477</v>
      </c>
      <c r="C73">
        <v>12</v>
      </c>
      <c r="D73" s="8" t="s">
        <v>485</v>
      </c>
      <c r="F73" s="4">
        <v>100</v>
      </c>
      <c r="G73" t="s">
        <v>486</v>
      </c>
    </row>
    <row r="74">
      <c r="B74" s="4" t="s">
        <v>487</v>
      </c>
    </row>
    <row r="75">
      <c r="B75" s="4" t="s">
        <v>488</v>
      </c>
    </row>
    <row r="76">
      <c r="B76" s="4" t="s">
        <v>489</v>
      </c>
      <c r="D76" s="4" t="s">
        <v>490</v>
      </c>
    </row>
    <row r="77">
      <c r="C77" s="1" t="s">
        <v>491</v>
      </c>
    </row>
    <row r="78">
      <c r="B78" s="1" t="s">
        <v>64</v>
      </c>
      <c r="C78" s="1" t="s">
        <v>53</v>
      </c>
      <c r="D78" s="1">
        <v>100</v>
      </c>
      <c r="E78" s="1" t="s">
        <v>230</v>
      </c>
    </row>
    <row r="79" ht="14.25" customHeight="1">
      <c r="B79" s="1" t="s">
        <v>116</v>
      </c>
      <c r="C79" s="1" t="s">
        <v>53</v>
      </c>
      <c r="D79" s="1">
        <v>300</v>
      </c>
      <c r="E79" s="1" t="s">
        <v>232</v>
      </c>
      <c r="F79" s="1" t="s">
        <v>492</v>
      </c>
    </row>
    <row r="80" ht="14.25" customHeight="1">
      <c r="B80" s="1" t="s">
        <v>493</v>
      </c>
      <c r="C80" s="1" t="s">
        <v>53</v>
      </c>
      <c r="D80" s="1">
        <v>30</v>
      </c>
      <c r="E80" s="1" t="s">
        <v>232</v>
      </c>
      <c r="H80" s="4" t="s">
        <v>494</v>
      </c>
    </row>
    <row r="81" ht="14.25" customHeight="1">
      <c r="B81" s="1" t="s">
        <v>495</v>
      </c>
      <c r="C81" s="1" t="s">
        <v>53</v>
      </c>
      <c r="D81" s="1">
        <v>415</v>
      </c>
      <c r="E81" s="1" t="s">
        <v>232</v>
      </c>
    </row>
    <row r="82" ht="14.25" customHeight="1">
      <c r="B82" s="1" t="s">
        <v>496</v>
      </c>
      <c r="C82" s="1" t="s">
        <v>53</v>
      </c>
      <c r="D82" s="1">
        <v>1050</v>
      </c>
      <c r="E82" s="1" t="s">
        <v>457</v>
      </c>
      <c r="F82" s="1" t="s">
        <v>497</v>
      </c>
    </row>
    <row r="83" ht="14.25" customHeight="1">
      <c r="B83" s="1" t="s">
        <v>498</v>
      </c>
      <c r="C83" s="1" t="s">
        <v>53</v>
      </c>
      <c r="D83" s="1">
        <v>940</v>
      </c>
      <c r="E83" s="1" t="s">
        <v>457</v>
      </c>
      <c r="F83" s="1" t="s">
        <v>499</v>
      </c>
    </row>
    <row r="84" ht="14.25" customHeight="1">
      <c r="B84" s="1" t="s">
        <v>500</v>
      </c>
      <c r="C84" s="1" t="s">
        <v>53</v>
      </c>
      <c r="D84" s="1">
        <v>45.6805947193027</v>
      </c>
      <c r="E84" s="1" t="s">
        <v>457</v>
      </c>
    </row>
    <row r="85" ht="14.25" customHeight="1">
      <c r="B85" s="1" t="s">
        <v>501</v>
      </c>
      <c r="C85" s="1" t="s">
        <v>53</v>
      </c>
      <c r="D85" s="1">
        <v>113.04</v>
      </c>
      <c r="E85" s="1" t="s">
        <v>457</v>
      </c>
      <c r="F85" s="1" t="s">
        <v>502</v>
      </c>
    </row>
    <row r="86">
      <c r="B86" t="s">
        <v>483</v>
      </c>
      <c r="C86" t="s">
        <v>484</v>
      </c>
      <c r="D86" s="4">
        <v>100</v>
      </c>
      <c r="E86" s="1" t="s">
        <v>230</v>
      </c>
    </row>
    <row r="87" ht="14.25" customHeight="1">
      <c r="B87" t="s">
        <v>477</v>
      </c>
      <c r="C87">
        <v>12</v>
      </c>
      <c r="D87" s="8" t="s">
        <v>485</v>
      </c>
      <c r="F87" s="4">
        <v>100</v>
      </c>
      <c r="G87" t="s">
        <v>486</v>
      </c>
    </row>
    <row r="88">
      <c r="B88" s="4" t="s">
        <v>487</v>
      </c>
    </row>
    <row r="89">
      <c r="B89" s="4" t="s">
        <v>503</v>
      </c>
    </row>
    <row r="90">
      <c r="B90" t="s">
        <v>504</v>
      </c>
    </row>
    <row r="91">
      <c r="B91" t="s">
        <v>505</v>
      </c>
      <c r="C91" s="4">
        <v>16</v>
      </c>
      <c r="D91" s="4" t="s">
        <v>463</v>
      </c>
      <c r="E91" s="4">
        <v>260</v>
      </c>
      <c r="F91" s="4" t="s">
        <v>465</v>
      </c>
      <c r="H91" t="s">
        <v>506</v>
      </c>
    </row>
    <row r="92">
      <c r="B92" t="s">
        <v>467</v>
      </c>
      <c r="C92" t="s">
        <v>507</v>
      </c>
    </row>
    <row r="94"/>
    <row r="95"/>
    <row r="96"/>
    <row r="98"/>
    <row r="99"/>
    <row r="102"/>
    <row r="103" ht="14.25" customHeight="1"/>
    <row r="104"/>
    <row r="105"/>
    <row r="106"/>
    <row r="107"/>
    <row r="108"/>
    <row r="109"/>
    <row r="110"/>
    <row r="111" ht="14.25" customHeight="1"/>
    <row r="112"/>
    <row r="113"/>
  </sheetData>
  <mergeCells count="5">
    <mergeCell ref="A1:O1"/>
    <mergeCell ref="B35:L35"/>
    <mergeCell ref="B36:L36"/>
    <mergeCell ref="B55:L55"/>
    <mergeCell ref="B64:D64"/>
  </mergeCells>
  <pageMargins left="0.75" right="0.75" top="1" bottom="1" header="0.5" footer="0.5"/>
  <ignoredErrors>
    <ignoredError numberStoredAsText="1" sqref="A1:U113"/>
  </ignoredErrors>
</worksheet>
</file>

<file path=xl/worksheets/sheet37.xml><?xml version="1.0" encoding="utf-8"?>
<worksheet xmlns="http://schemas.openxmlformats.org/spreadsheetml/2006/main" xmlns:r="http://schemas.openxmlformats.org/officeDocument/2006/relationships">
  <dimension ref="A1:U110"/>
  <sheetViews>
    <sheetView workbookViewId="0" rightToLeft="0"/>
  </sheetViews>
  <cols>
    <col min="1" max="1" customWidth="1" width="6.7109375"/>
    <col min="2" max="2" customWidth="1" width="34.42578125"/>
    <col min="3" max="3" customWidth="1" width="15.5703125"/>
    <col min="4" max="4" customWidth="1" width="11.85546875"/>
    <col min="5" max="5" customWidth="1" width="12.5703125"/>
    <col min="6" max="6" customWidth="1" width="8.28515625"/>
    <col min="7" max="7" customWidth="1" width="7"/>
    <col min="8" max="8" customWidth="1" width="9.42578125"/>
    <col min="9" max="9" customWidth="1" width="5"/>
    <col min="10" max="10" customWidth="1" width="6.5703125"/>
    <col min="11" max="11" customWidth="1" width="2.5703125"/>
    <col min="12" max="12" customWidth="1" width="7.5703125"/>
    <col min="13" max="13" customWidth="1" width="2.85546875"/>
    <col min="14" max="14" customWidth="1" width="7.5703125"/>
    <col min="15" max="15" customWidth="1" width="11.85546875"/>
  </cols>
  <sheetData>
    <row r="1">
      <c r="A1" t="s">
        <v>1424</v>
      </c>
    </row>
    <row r="2">
      <c r="B2" t="s">
        <v>1425</v>
      </c>
      <c r="C2" s="4">
        <v>1000</v>
      </c>
      <c r="D2" t="s">
        <v>465</v>
      </c>
    </row>
    <row r="3">
      <c r="A3" t="s">
        <v>425</v>
      </c>
    </row>
    <row r="4">
      <c r="B4" t="s">
        <v>380</v>
      </c>
    </row>
    <row r="5">
      <c r="B5" s="1" t="s">
        <v>1086</v>
      </c>
      <c r="C5" s="1" t="s">
        <v>53</v>
      </c>
      <c r="D5" s="1">
        <v>606.677</v>
      </c>
      <c r="E5" s="1" t="s">
        <v>204</v>
      </c>
    </row>
    <row r="6">
      <c r="B6" s="1" t="s">
        <v>1418</v>
      </c>
    </row>
    <row r="7">
      <c r="B7" s="1" t="s">
        <v>1426</v>
      </c>
      <c r="E7" s="1">
        <v>1311.6490000000001</v>
      </c>
      <c r="F7" s="1" t="s">
        <v>323</v>
      </c>
    </row>
    <row r="8">
      <c r="F8" s="1" t="s">
        <v>1421</v>
      </c>
    </row>
    <row r="9"/>
    <row r="10">
      <c r="B10" s="1" t="s">
        <v>1423</v>
      </c>
      <c r="C10" s="1" t="s">
        <v>53</v>
      </c>
      <c r="D10" s="1">
        <v>1311.6490000000001</v>
      </c>
      <c r="E10" s="1" t="s">
        <v>148</v>
      </c>
      <c r="F10" s="1">
        <v>0</v>
      </c>
      <c r="G10" s="1" t="s">
        <v>53</v>
      </c>
      <c r="H10" s="1">
        <v>1311.6490000000001</v>
      </c>
      <c r="I10" s="1" t="s">
        <v>323</v>
      </c>
    </row>
    <row r="11">
      <c r="B11" t="s">
        <v>426</v>
      </c>
      <c r="D11" t="s">
        <v>427</v>
      </c>
    </row>
    <row r="12">
      <c r="B12" t="s">
        <v>428</v>
      </c>
      <c r="F12">
        <v>415</v>
      </c>
      <c r="G12" t="s">
        <v>232</v>
      </c>
    </row>
    <row r="13">
      <c r="B13" t="s">
        <v>429</v>
      </c>
    </row>
    <row r="14">
      <c r="B14" t="s">
        <v>430</v>
      </c>
      <c r="D14">
        <v>190</v>
      </c>
    </row>
    <row r="15">
      <c r="B15" t="s">
        <v>431</v>
      </c>
    </row>
    <row r="16" ht="25.5" customHeight="1">
      <c r="B16" t="s">
        <v>432</v>
      </c>
      <c r="D16" t="s">
        <v>433</v>
      </c>
      <c r="E16" s="1" t="s">
        <v>53</v>
      </c>
      <c r="F16">
        <v>30</v>
      </c>
      <c r="G16" t="s">
        <v>232</v>
      </c>
    </row>
    <row r="17" ht="25.5" customHeight="1">
      <c r="B17" t="s">
        <v>434</v>
      </c>
      <c r="D17" t="s">
        <v>435</v>
      </c>
      <c r="E17" s="1" t="s">
        <v>53</v>
      </c>
      <c r="F17">
        <v>8</v>
      </c>
      <c r="G17" t="s">
        <v>232</v>
      </c>
    </row>
    <row r="18" ht="25.5" customHeight="1">
      <c r="B18" t="s">
        <v>436</v>
      </c>
      <c r="D18" t="s">
        <v>437</v>
      </c>
      <c r="E18" s="1" t="s">
        <v>53</v>
      </c>
      <c r="F18">
        <v>8</v>
      </c>
      <c r="G18" t="s">
        <v>232</v>
      </c>
    </row>
    <row r="19">
      <c r="D19" t="s">
        <v>438</v>
      </c>
      <c r="E19" s="1" t="s">
        <v>53</v>
      </c>
      <c r="F19">
        <v>3.6</v>
      </c>
      <c r="G19" t="s">
        <v>232</v>
      </c>
    </row>
    <row r="20" ht="15.75" customHeight="1">
      <c r="B20" t="s">
        <v>439</v>
      </c>
      <c r="C20" t="s">
        <v>53</v>
      </c>
      <c r="D20">
        <v>1.5</v>
      </c>
      <c r="E20" s="1" t="s">
        <v>440</v>
      </c>
      <c r="F20" s="1">
        <v>606.677</v>
      </c>
      <c r="G20" t="s">
        <v>53</v>
      </c>
      <c r="H20">
        <v>910.0155</v>
      </c>
      <c r="I20" t="s">
        <v>204</v>
      </c>
    </row>
    <row r="21" ht="15.75" customHeight="1">
      <c r="B21" t="s">
        <v>441</v>
      </c>
      <c r="C21" t="s">
        <v>53</v>
      </c>
      <c r="D21">
        <v>1.5</v>
      </c>
      <c r="E21" s="1" t="s">
        <v>440</v>
      </c>
      <c r="F21" s="1">
        <v>1311.6490000000001</v>
      </c>
      <c r="G21" t="s">
        <v>53</v>
      </c>
      <c r="H21">
        <v>1967.4735</v>
      </c>
      <c r="I21" t="s">
        <v>323</v>
      </c>
    </row>
    <row r="22">
      <c r="B22" t="s">
        <v>443</v>
      </c>
      <c r="F22">
        <v>33.33</v>
      </c>
      <c r="G22" t="s">
        <v>271</v>
      </c>
    </row>
    <row r="23">
      <c r="B23" t="s">
        <v>444</v>
      </c>
    </row>
    <row r="24">
      <c r="C24" s="4">
        <v>1000</v>
      </c>
      <c r="D24" t="s">
        <v>445</v>
      </c>
      <c r="E24" s="4">
        <v>1000</v>
      </c>
      <c r="F24" t="s">
        <v>230</v>
      </c>
    </row>
    <row r="25">
      <c r="C25" t="s">
        <v>446</v>
      </c>
      <c r="D25">
        <v>75</v>
      </c>
    </row>
    <row r="26" ht="14.25" customHeight="1">
      <c r="B26" t="s">
        <v>447</v>
      </c>
      <c r="C26" t="s">
        <v>53</v>
      </c>
      <c r="D26">
        <v>81</v>
      </c>
      <c r="E26" t="s">
        <v>107</v>
      </c>
      <c r="F26">
        <v>1000</v>
      </c>
      <c r="G26" t="s">
        <v>53</v>
      </c>
      <c r="H26" s="8">
        <v>0.081</v>
      </c>
    </row>
    <row r="27" ht="15.75" customHeight="1">
      <c r="B27" t="s">
        <v>448</v>
      </c>
      <c r="C27" t="s">
        <v>53</v>
      </c>
      <c r="D27" s="1">
        <v>910.0155</v>
      </c>
      <c r="E27" t="s">
        <v>91</v>
      </c>
      <c r="F27">
        <v>1000</v>
      </c>
      <c r="G27" t="s">
        <v>449</v>
      </c>
      <c r="H27">
        <v>30</v>
      </c>
      <c r="I27" t="s">
        <v>91</v>
      </c>
      <c r="J27">
        <v>1000</v>
      </c>
      <c r="K27" t="s">
        <v>199</v>
      </c>
      <c r="L27">
        <v>1000</v>
      </c>
      <c r="M27" t="s">
        <v>105</v>
      </c>
    </row>
    <row r="28">
      <c r="C28" t="s">
        <v>53</v>
      </c>
      <c r="D28" s="8">
        <v>0.03033385</v>
      </c>
    </row>
    <row r="29">
      <c r="B29" t="s">
        <v>450</v>
      </c>
    </row>
    <row r="30" ht="15.75" customHeight="1">
      <c r="B30" t="s">
        <v>451</v>
      </c>
      <c r="C30" t="s">
        <v>53</v>
      </c>
      <c r="D30" s="1">
        <v>1967.4735</v>
      </c>
      <c r="E30" t="s">
        <v>91</v>
      </c>
      <c r="F30">
        <v>1000000</v>
      </c>
      <c r="G30" t="s">
        <v>449</v>
      </c>
      <c r="H30">
        <v>30</v>
      </c>
      <c r="I30" t="s">
        <v>91</v>
      </c>
      <c r="J30">
        <v>1000</v>
      </c>
      <c r="K30" t="s">
        <v>199</v>
      </c>
      <c r="L30">
        <v>1000</v>
      </c>
      <c r="M30" t="s">
        <v>452</v>
      </c>
    </row>
    <row r="31">
      <c r="C31" t="s">
        <v>53</v>
      </c>
      <c r="D31" s="8">
        <v>0.06558245</v>
      </c>
    </row>
    <row r="32" ht="31.5" customHeight="1">
      <c r="B32" t="s">
        <v>453</v>
      </c>
    </row>
    <row r="33" ht="12.75" customHeight="1">
      <c r="B33" t="s">
        <v>454</v>
      </c>
    </row>
    <row r="34">
      <c r="B34" t="s">
        <v>455</v>
      </c>
    </row>
    <row r="36">
      <c r="B36" t="s">
        <v>456</v>
      </c>
      <c r="D36" s="1">
        <v>910.0155</v>
      </c>
      <c r="E36" s="1" t="s">
        <v>91</v>
      </c>
      <c r="F36" s="4">
        <v>1000</v>
      </c>
      <c r="G36" t="s">
        <v>107</v>
      </c>
      <c r="H36">
        <v>8</v>
      </c>
    </row>
    <row r="37" ht="14.25" customHeight="1">
      <c r="C37" t="s">
        <v>53</v>
      </c>
      <c r="D37" s="4">
        <v>113751.9375</v>
      </c>
      <c r="E37" t="s">
        <v>457</v>
      </c>
    </row>
    <row r="38">
      <c r="B38" t="s">
        <v>458</v>
      </c>
      <c r="C38">
        <v>0.8</v>
      </c>
      <c r="D38" t="s">
        <v>91</v>
      </c>
      <c r="E38" s="4">
        <v>113751.9375</v>
      </c>
      <c r="F38" t="s">
        <v>107</v>
      </c>
      <c r="G38">
        <v>100</v>
      </c>
    </row>
    <row r="39" ht="14.25" customHeight="1">
      <c r="C39" t="s">
        <v>53</v>
      </c>
      <c r="D39" s="4">
        <v>910.0155</v>
      </c>
      <c r="E39" t="s">
        <v>457</v>
      </c>
    </row>
    <row r="41">
      <c r="B41" t="s">
        <v>459</v>
      </c>
    </row>
    <row r="42">
      <c r="B42" t="s">
        <v>460</v>
      </c>
      <c r="C42">
        <v>0.3</v>
      </c>
      <c r="D42" t="s">
        <v>91</v>
      </c>
      <c r="E42">
        <v>1000</v>
      </c>
      <c r="F42" t="s">
        <v>199</v>
      </c>
      <c r="G42">
        <v>1000</v>
      </c>
      <c r="H42" t="s">
        <v>107</v>
      </c>
      <c r="I42">
        <v>100</v>
      </c>
    </row>
    <row r="43" ht="14.25" customHeight="1">
      <c r="C43" t="s">
        <v>53</v>
      </c>
      <c r="D43" s="4">
        <v>3000</v>
      </c>
      <c r="E43" t="s">
        <v>457</v>
      </c>
    </row>
    <row r="44" ht="14.25" customHeight="1">
      <c r="B44" t="s">
        <v>461</v>
      </c>
      <c r="C44" t="s">
        <v>53</v>
      </c>
      <c r="D44" s="4">
        <v>3000</v>
      </c>
      <c r="E44" t="s">
        <v>457</v>
      </c>
    </row>
    <row r="45">
      <c r="B45" t="s">
        <v>462</v>
      </c>
      <c r="C45">
        <v>12</v>
      </c>
      <c r="D45" t="s">
        <v>463</v>
      </c>
      <c r="E45" t="s">
        <v>53</v>
      </c>
      <c r="F45" s="4">
        <v>26.539278131634816</v>
      </c>
      <c r="G45" t="s">
        <v>238</v>
      </c>
    </row>
    <row r="46">
      <c r="B46" t="s">
        <v>464</v>
      </c>
      <c r="C46" t="s">
        <v>53</v>
      </c>
      <c r="D46" s="4">
        <v>150</v>
      </c>
      <c r="E46" t="s">
        <v>465</v>
      </c>
    </row>
    <row r="47">
      <c r="B47" t="s">
        <v>466</v>
      </c>
    </row>
    <row r="49" ht="15.75" customHeight="1">
      <c r="B49" t="s">
        <v>451</v>
      </c>
      <c r="C49" t="s">
        <v>53</v>
      </c>
      <c r="D49" s="1">
        <v>1967.4735</v>
      </c>
      <c r="E49" t="s">
        <v>91</v>
      </c>
      <c r="F49">
        <v>1000000</v>
      </c>
      <c r="G49" t="s">
        <v>449</v>
      </c>
      <c r="H49">
        <v>30</v>
      </c>
      <c r="I49" t="s">
        <v>91</v>
      </c>
    </row>
    <row r="50" ht="14.25" customHeight="1">
      <c r="E50">
        <v>1000</v>
      </c>
      <c r="F50" t="s">
        <v>199</v>
      </c>
      <c r="G50">
        <v>1000</v>
      </c>
      <c r="H50" t="s">
        <v>452</v>
      </c>
    </row>
    <row r="51">
      <c r="C51" t="s">
        <v>53</v>
      </c>
      <c r="D51" s="8">
        <v>0.06558245</v>
      </c>
    </row>
    <row r="52" ht="29.25" customHeight="1">
      <c r="B52" t="s">
        <v>453</v>
      </c>
    </row>
    <row r="53">
      <c r="B53" t="s">
        <v>467</v>
      </c>
    </row>
    <row r="54">
      <c r="B54" t="s">
        <v>468</v>
      </c>
    </row>
    <row r="55">
      <c r="C55" s="1">
        <v>1311.6490000000001</v>
      </c>
      <c r="D55" s="4" t="s">
        <v>107</v>
      </c>
      <c r="E55" s="1">
        <v>4.498000000000005</v>
      </c>
      <c r="F55" s="2" t="s">
        <v>53</v>
      </c>
      <c r="G55" s="1">
        <v>291.60715873721625</v>
      </c>
      <c r="H55" t="s">
        <v>204</v>
      </c>
    </row>
    <row r="56">
      <c r="A56" t="s">
        <v>469</v>
      </c>
    </row>
    <row r="57">
      <c r="B57" t="s">
        <v>470</v>
      </c>
      <c r="C57" s="1">
        <v>291.60715873721625</v>
      </c>
      <c r="D57" s="1" t="s">
        <v>91</v>
      </c>
      <c r="E57">
        <v>1000</v>
      </c>
      <c r="F57" s="1" t="s">
        <v>449</v>
      </c>
      <c r="G57">
        <v>1000</v>
      </c>
      <c r="H57" s="1" t="s">
        <v>91</v>
      </c>
      <c r="I57">
        <v>1000</v>
      </c>
      <c r="J57" t="s">
        <v>105</v>
      </c>
    </row>
    <row r="58" ht="14.25" customHeight="1">
      <c r="C58" t="s">
        <v>53</v>
      </c>
      <c r="D58" s="1">
        <v>0.29160715873721627</v>
      </c>
      <c r="E58" t="s">
        <v>232</v>
      </c>
    </row>
    <row r="59">
      <c r="B59" t="s">
        <v>471</v>
      </c>
      <c r="C59" s="1">
        <v>0.3</v>
      </c>
    </row>
    <row r="60" ht="14.25" customHeight="1">
      <c r="B60" t="s">
        <v>472</v>
      </c>
      <c r="C60" s="1">
        <v>0.4</v>
      </c>
      <c r="D60" t="s">
        <v>232</v>
      </c>
      <c r="E60" t="s">
        <v>473</v>
      </c>
    </row>
    <row r="61">
      <c r="B61" t="s">
        <v>474</v>
      </c>
    </row>
    <row r="62">
      <c r="B62" t="s">
        <v>475</v>
      </c>
    </row>
    <row r="63" ht="14.25" customHeight="1">
      <c r="B63" t="s">
        <v>476</v>
      </c>
      <c r="C63" t="s">
        <v>53</v>
      </c>
      <c r="D63" s="4">
        <v>12</v>
      </c>
      <c r="E63" t="s">
        <v>107</v>
      </c>
      <c r="F63">
        <v>4</v>
      </c>
      <c r="G63" t="s">
        <v>53</v>
      </c>
      <c r="H63">
        <v>3</v>
      </c>
      <c r="I63" t="s">
        <v>230</v>
      </c>
    </row>
    <row r="64">
      <c r="B64" t="s">
        <v>477</v>
      </c>
      <c r="C64">
        <v>12</v>
      </c>
      <c r="D64" s="8" t="s">
        <v>478</v>
      </c>
    </row>
    <row r="65">
      <c r="B65" t="s">
        <v>479</v>
      </c>
    </row>
    <row r="66">
      <c r="B66" t="s">
        <v>480</v>
      </c>
      <c r="C66">
        <v>1000</v>
      </c>
      <c r="D66" t="s">
        <v>230</v>
      </c>
    </row>
    <row r="67">
      <c r="B67" t="s">
        <v>481</v>
      </c>
      <c r="C67">
        <v>12</v>
      </c>
      <c r="D67" s="1" t="s">
        <v>91</v>
      </c>
      <c r="E67" s="4">
        <v>12</v>
      </c>
      <c r="F67" s="1" t="s">
        <v>53</v>
      </c>
      <c r="G67" s="4">
        <v>144</v>
      </c>
      <c r="H67" s="4" t="s">
        <v>230</v>
      </c>
    </row>
    <row r="68">
      <c r="B68" t="s">
        <v>482</v>
      </c>
      <c r="C68">
        <v>300</v>
      </c>
      <c r="D68" s="8" t="s">
        <v>230</v>
      </c>
    </row>
    <row r="69">
      <c r="B69" t="s">
        <v>483</v>
      </c>
      <c r="C69" t="s">
        <v>484</v>
      </c>
      <c r="D69" s="4">
        <v>100</v>
      </c>
      <c r="E69" s="1" t="s">
        <v>230</v>
      </c>
    </row>
    <row r="70" ht="14.25" customHeight="1">
      <c r="B70" t="s">
        <v>477</v>
      </c>
      <c r="C70">
        <v>12</v>
      </c>
      <c r="D70" s="8" t="s">
        <v>485</v>
      </c>
      <c r="F70" s="4">
        <v>100</v>
      </c>
      <c r="G70" t="s">
        <v>486</v>
      </c>
    </row>
    <row r="71">
      <c r="B71" s="4" t="s">
        <v>487</v>
      </c>
    </row>
    <row r="72">
      <c r="B72" s="4" t="s">
        <v>488</v>
      </c>
    </row>
    <row r="73">
      <c r="B73" s="4" t="s">
        <v>489</v>
      </c>
      <c r="D73" s="4" t="s">
        <v>490</v>
      </c>
    </row>
    <row r="74">
      <c r="C74" s="1" t="s">
        <v>491</v>
      </c>
    </row>
    <row r="75">
      <c r="B75" s="1" t="s">
        <v>64</v>
      </c>
      <c r="C75" s="1" t="s">
        <v>53</v>
      </c>
      <c r="D75" s="1">
        <v>100</v>
      </c>
      <c r="E75" s="1" t="s">
        <v>230</v>
      </c>
    </row>
    <row r="76" ht="14.25" customHeight="1">
      <c r="B76" s="1" t="s">
        <v>116</v>
      </c>
      <c r="C76" s="1" t="s">
        <v>53</v>
      </c>
      <c r="D76" s="1">
        <v>300</v>
      </c>
      <c r="E76" s="1" t="s">
        <v>232</v>
      </c>
      <c r="F76" s="1" t="s">
        <v>492</v>
      </c>
    </row>
    <row r="77" ht="14.25" customHeight="1">
      <c r="B77" s="1" t="s">
        <v>493</v>
      </c>
      <c r="C77" s="1" t="s">
        <v>53</v>
      </c>
      <c r="D77" s="1">
        <v>30</v>
      </c>
      <c r="E77" s="1" t="s">
        <v>232</v>
      </c>
      <c r="H77" s="4" t="s">
        <v>494</v>
      </c>
    </row>
    <row r="78" ht="14.25" customHeight="1">
      <c r="B78" s="1" t="s">
        <v>495</v>
      </c>
      <c r="C78" s="1" t="s">
        <v>53</v>
      </c>
      <c r="D78" s="1">
        <v>415</v>
      </c>
      <c r="E78" s="1" t="s">
        <v>232</v>
      </c>
    </row>
    <row r="79" ht="14.25" customHeight="1">
      <c r="B79" s="1" t="s">
        <v>496</v>
      </c>
      <c r="C79" s="1" t="s">
        <v>53</v>
      </c>
      <c r="D79" s="1">
        <v>1000</v>
      </c>
      <c r="E79" s="1" t="s">
        <v>457</v>
      </c>
      <c r="F79" s="1" t="s">
        <v>497</v>
      </c>
    </row>
    <row r="80" ht="14.25" customHeight="1">
      <c r="B80" s="1" t="s">
        <v>498</v>
      </c>
      <c r="C80" s="1" t="s">
        <v>53</v>
      </c>
      <c r="D80" s="1">
        <v>886</v>
      </c>
      <c r="E80" s="1" t="s">
        <v>457</v>
      </c>
      <c r="F80" s="1" t="s">
        <v>499</v>
      </c>
    </row>
    <row r="81" ht="14.25" customHeight="1">
      <c r="B81" s="1" t="s">
        <v>500</v>
      </c>
      <c r="C81" s="1" t="s">
        <v>53</v>
      </c>
      <c r="D81" s="1">
        <v>50.22709347548209</v>
      </c>
      <c r="E81" s="1" t="s">
        <v>457</v>
      </c>
    </row>
    <row r="82" ht="14.25" customHeight="1">
      <c r="B82" s="1" t="s">
        <v>501</v>
      </c>
      <c r="C82" s="1" t="s">
        <v>53</v>
      </c>
      <c r="D82" s="1">
        <v>113.04</v>
      </c>
      <c r="E82" s="1" t="s">
        <v>457</v>
      </c>
      <c r="F82" s="1" t="s">
        <v>502</v>
      </c>
    </row>
    <row r="83">
      <c r="B83" t="s">
        <v>483</v>
      </c>
      <c r="C83" t="s">
        <v>484</v>
      </c>
      <c r="D83" s="4">
        <v>100</v>
      </c>
      <c r="E83" s="1" t="s">
        <v>230</v>
      </c>
    </row>
    <row r="84" ht="14.25" customHeight="1">
      <c r="B84" t="s">
        <v>477</v>
      </c>
      <c r="C84">
        <v>12</v>
      </c>
      <c r="D84" s="8" t="s">
        <v>485</v>
      </c>
      <c r="F84" s="4">
        <v>100</v>
      </c>
      <c r="G84" t="s">
        <v>486</v>
      </c>
    </row>
    <row r="85">
      <c r="B85" s="4" t="s">
        <v>487</v>
      </c>
    </row>
    <row r="86">
      <c r="B86" s="4" t="s">
        <v>503</v>
      </c>
    </row>
    <row r="87">
      <c r="B87" t="s">
        <v>504</v>
      </c>
    </row>
    <row r="88">
      <c r="B88" t="s">
        <v>505</v>
      </c>
      <c r="C88" s="4">
        <v>12</v>
      </c>
      <c r="D88" s="4" t="s">
        <v>463</v>
      </c>
      <c r="E88" s="4">
        <v>150</v>
      </c>
      <c r="F88" s="4" t="s">
        <v>465</v>
      </c>
      <c r="H88" t="s">
        <v>1427</v>
      </c>
    </row>
    <row r="89">
      <c r="B89" t="s">
        <v>467</v>
      </c>
      <c r="C89" t="s">
        <v>507</v>
      </c>
    </row>
    <row r="91"/>
    <row r="92"/>
    <row r="93"/>
    <row r="95"/>
    <row r="96"/>
    <row r="99"/>
    <row r="100" ht="14.25" customHeight="1"/>
    <row r="101"/>
    <row r="102"/>
    <row r="103"/>
    <row r="104"/>
    <row r="105"/>
    <row r="106"/>
    <row r="107"/>
    <row r="108" ht="14.25" customHeight="1"/>
    <row r="109"/>
    <row r="110"/>
  </sheetData>
  <mergeCells count="5">
    <mergeCell ref="A1:O1"/>
    <mergeCell ref="B32:L32"/>
    <mergeCell ref="B33:L33"/>
    <mergeCell ref="B52:L52"/>
    <mergeCell ref="B61:D61"/>
  </mergeCells>
  <pageMargins left="0.75" right="0.75" top="1" bottom="1" header="0.5" footer="0.5"/>
  <ignoredErrors>
    <ignoredError numberStoredAsText="1" sqref="A1:U110"/>
  </ignoredErrors>
</worksheet>
</file>

<file path=xl/worksheets/sheet38.xml><?xml version="1.0" encoding="utf-8"?>
<worksheet xmlns="http://schemas.openxmlformats.org/spreadsheetml/2006/main" xmlns:r="http://schemas.openxmlformats.org/officeDocument/2006/relationships">
  <dimension ref="A1:N110"/>
  <sheetViews>
    <sheetView workbookViewId="0" rightToLeft="0"/>
  </sheetViews>
  <cols>
    <col min="2" max="2" customWidth="1" width="67.28515625"/>
    <col min="3" max="3" customWidth="1" width="26.85546875"/>
    <col min="4" max="4" customWidth="1" width="7"/>
  </cols>
  <sheetData>
    <row r="1">
      <c r="B1" t="s">
        <v>1428</v>
      </c>
    </row>
    <row r="2">
      <c r="A2" t="s">
        <v>0</v>
      </c>
    </row>
    <row r="3">
      <c r="A3" t="s">
        <v>1114</v>
      </c>
    </row>
    <row r="4">
      <c r="A4" t="s">
        <v>660</v>
      </c>
    </row>
    <row r="5">
      <c r="A5" t="s">
        <v>661</v>
      </c>
      <c r="C5">
        <v>0.975</v>
      </c>
      <c r="D5" t="s">
        <v>199</v>
      </c>
      <c r="E5">
        <v>15</v>
      </c>
      <c r="F5" t="s">
        <v>662</v>
      </c>
      <c r="G5">
        <v>2.4</v>
      </c>
      <c r="H5" t="s">
        <v>53</v>
      </c>
      <c r="I5" s="1">
        <v>35.1</v>
      </c>
      <c r="J5" t="s">
        <v>630</v>
      </c>
    </row>
    <row r="6">
      <c r="A6" t="s">
        <v>663</v>
      </c>
      <c r="C6">
        <v>0.075</v>
      </c>
      <c r="D6" t="s">
        <v>199</v>
      </c>
      <c r="E6">
        <v>12</v>
      </c>
      <c r="F6" t="s">
        <v>662</v>
      </c>
      <c r="G6">
        <v>2.4</v>
      </c>
      <c r="H6" t="s">
        <v>53</v>
      </c>
      <c r="I6" s="1">
        <v>2.1599999999999997</v>
      </c>
      <c r="J6" t="s">
        <v>630</v>
      </c>
    </row>
    <row r="7">
      <c r="G7" t="s">
        <v>171</v>
      </c>
      <c r="I7" s="1">
        <v>37.26</v>
      </c>
      <c r="J7" t="s">
        <v>630</v>
      </c>
    </row>
    <row r="8">
      <c r="A8" t="s">
        <v>1115</v>
      </c>
      <c r="E8" t="s">
        <v>53</v>
      </c>
    </row>
    <row r="9">
      <c r="E9" s="1">
        <v>37.26</v>
      </c>
      <c r="F9" t="s">
        <v>107</v>
      </c>
      <c r="G9">
        <v>2</v>
      </c>
      <c r="H9" t="s">
        <v>53</v>
      </c>
      <c r="I9" s="1">
        <v>18.63</v>
      </c>
      <c r="J9" t="s">
        <v>630</v>
      </c>
    </row>
    <row r="10">
      <c r="A10" t="s">
        <v>1116</v>
      </c>
    </row>
    <row r="11">
      <c r="D11" t="s">
        <v>666</v>
      </c>
      <c r="E11" s="1">
        <v>82.5</v>
      </c>
      <c r="F11" t="s">
        <v>199</v>
      </c>
      <c r="G11">
        <v>1.1375</v>
      </c>
      <c r="H11" t="s">
        <v>53</v>
      </c>
      <c r="I11" s="1">
        <v>93.84375</v>
      </c>
      <c r="J11" t="s">
        <v>630</v>
      </c>
    </row>
    <row r="12">
      <c r="A12" t="s">
        <v>667</v>
      </c>
    </row>
    <row r="13">
      <c r="A13" t="s">
        <v>668</v>
      </c>
    </row>
    <row r="14">
      <c r="A14" t="s">
        <v>669</v>
      </c>
      <c r="D14" t="s">
        <v>670</v>
      </c>
      <c r="E14">
        <v>6.695</v>
      </c>
      <c r="F14" t="s">
        <v>92</v>
      </c>
    </row>
    <row r="15">
      <c r="A15" t="s">
        <v>671</v>
      </c>
    </row>
    <row r="16">
      <c r="A16" t="s">
        <v>1117</v>
      </c>
      <c r="D16" t="s">
        <v>666</v>
      </c>
      <c r="E16" s="1">
        <v>93.84375</v>
      </c>
      <c r="F16" t="s">
        <v>107</v>
      </c>
      <c r="G16">
        <v>6.695</v>
      </c>
      <c r="H16" t="s">
        <v>53</v>
      </c>
      <c r="I16" s="1">
        <v>14.016990291262136</v>
      </c>
      <c r="J16" t="s">
        <v>630</v>
      </c>
    </row>
    <row r="17">
      <c r="B17" t="s">
        <v>673</v>
      </c>
    </row>
    <row r="18">
      <c r="A18" t="s">
        <v>674</v>
      </c>
      <c r="D18" s="1">
        <v>18.63</v>
      </c>
      <c r="E18" t="s">
        <v>148</v>
      </c>
      <c r="F18" s="1">
        <v>14.016990291262136</v>
      </c>
      <c r="H18" t="s">
        <v>53</v>
      </c>
      <c r="I18" s="1">
        <v>32.646990291262135</v>
      </c>
      <c r="J18" t="s">
        <v>630</v>
      </c>
    </row>
    <row r="19">
      <c r="A19" t="s">
        <v>1118</v>
      </c>
      <c r="I19" t="s">
        <v>676</v>
      </c>
    </row>
    <row r="20">
      <c r="A20" t="s">
        <v>677</v>
      </c>
      <c r="D20">
        <v>86.25</v>
      </c>
      <c r="E20" t="s">
        <v>678</v>
      </c>
    </row>
    <row r="21">
      <c r="A21" t="s">
        <v>679</v>
      </c>
    </row>
    <row r="22">
      <c r="A22" t="s">
        <v>680</v>
      </c>
      <c r="D22" t="s">
        <v>53</v>
      </c>
      <c r="E22">
        <v>33.75</v>
      </c>
      <c r="F22" t="s">
        <v>678</v>
      </c>
      <c r="G22" t="s">
        <v>53</v>
      </c>
      <c r="H22" s="1">
        <v>0.3375</v>
      </c>
      <c r="I22" t="s">
        <v>92</v>
      </c>
    </row>
    <row r="23" ht="28.5" customHeight="1">
      <c r="A23" t="s">
        <v>681</v>
      </c>
      <c r="C23" s="1">
        <v>32.646990291262135</v>
      </c>
      <c r="D23" t="s">
        <v>91</v>
      </c>
      <c r="E23" s="1">
        <v>0.3375</v>
      </c>
      <c r="H23" s="1">
        <v>11.02</v>
      </c>
      <c r="I23" t="s">
        <v>682</v>
      </c>
    </row>
    <row r="24" ht="28.5" customHeight="1">
      <c r="B24" t="s">
        <v>53</v>
      </c>
      <c r="C24" s="1">
        <v>11.02</v>
      </c>
      <c r="D24" t="s">
        <v>91</v>
      </c>
      <c r="E24" s="1">
        <v>10</v>
      </c>
      <c r="F24" t="s">
        <v>53</v>
      </c>
      <c r="G24">
        <v>110.2</v>
      </c>
      <c r="H24" t="s">
        <v>683</v>
      </c>
    </row>
    <row r="25">
      <c r="A25" t="s">
        <v>684</v>
      </c>
    </row>
    <row r="26">
      <c r="B26" t="s">
        <v>1119</v>
      </c>
      <c r="E26" s="1">
        <v>110.2</v>
      </c>
      <c r="F26" s="1" t="s">
        <v>323</v>
      </c>
    </row>
    <row r="27">
      <c r="B27" t="s">
        <v>540</v>
      </c>
      <c r="E27" t="s">
        <v>686</v>
      </c>
    </row>
    <row r="28">
      <c r="B28" t="s">
        <v>541</v>
      </c>
      <c r="E28">
        <v>10</v>
      </c>
      <c r="F28" t="s">
        <v>232</v>
      </c>
    </row>
    <row r="29">
      <c r="B29" t="s">
        <v>85</v>
      </c>
      <c r="E29" s="1">
        <v>9.333333333333334</v>
      </c>
    </row>
    <row r="30">
      <c r="B30" t="s">
        <v>542</v>
      </c>
      <c r="E30">
        <v>200</v>
      </c>
    </row>
    <row r="31">
      <c r="B31" t="s">
        <v>543</v>
      </c>
      <c r="E31" s="2">
        <v>0.3181818181818182</v>
      </c>
    </row>
    <row r="32">
      <c r="B32" t="s">
        <v>544</v>
      </c>
      <c r="E32" s="2">
        <v>0.8939393939393939</v>
      </c>
    </row>
    <row r="33">
      <c r="B33" t="s">
        <v>173</v>
      </c>
      <c r="E33" s="2">
        <v>1.4221763085399448</v>
      </c>
    </row>
    <row r="34">
      <c r="B34" t="s">
        <v>545</v>
      </c>
      <c r="E34" s="4">
        <v>278.364646665695</v>
      </c>
      <c r="F34" t="s">
        <v>230</v>
      </c>
    </row>
    <row r="35">
      <c r="B35" t="s">
        <v>546</v>
      </c>
      <c r="E35" s="4">
        <v>1200</v>
      </c>
      <c r="F35" t="s">
        <v>230</v>
      </c>
    </row>
    <row r="36">
      <c r="B36" t="s">
        <v>547</v>
      </c>
      <c r="E36" s="4">
        <v>50</v>
      </c>
      <c r="F36" t="s">
        <v>230</v>
      </c>
    </row>
    <row r="37">
      <c r="B37" t="s">
        <v>548</v>
      </c>
      <c r="E37" s="4">
        <v>25</v>
      </c>
      <c r="F37" t="s">
        <v>230</v>
      </c>
    </row>
    <row r="38">
      <c r="B38" t="s">
        <v>549</v>
      </c>
      <c r="E38" s="4">
        <v>1137.5</v>
      </c>
      <c r="F38" t="s">
        <v>230</v>
      </c>
    </row>
    <row r="39">
      <c r="B39" t="s">
        <v>550</v>
      </c>
      <c r="E39">
        <v>1137.5</v>
      </c>
      <c r="F39" t="s">
        <v>230</v>
      </c>
    </row>
    <row r="40" ht="14.25" customHeight="1">
      <c r="B40" t="s">
        <v>551</v>
      </c>
      <c r="E40" s="4">
        <v>541.8662693238964</v>
      </c>
      <c r="F40" t="s">
        <v>457</v>
      </c>
    </row>
    <row r="41" ht="14.25" customHeight="1">
      <c r="B41" t="s">
        <v>552</v>
      </c>
      <c r="E41" s="4">
        <v>490.625</v>
      </c>
      <c r="F41" t="s">
        <v>457</v>
      </c>
    </row>
    <row r="42">
      <c r="B42" t="s">
        <v>553</v>
      </c>
      <c r="E42" s="4">
        <v>905.4355802810318</v>
      </c>
      <c r="F42" t="s">
        <v>230</v>
      </c>
    </row>
    <row r="43">
      <c r="B43" t="s">
        <v>554</v>
      </c>
      <c r="C43" s="4">
        <v>25</v>
      </c>
      <c r="D43" t="s">
        <v>230</v>
      </c>
      <c r="E43" s="4">
        <v>100</v>
      </c>
      <c r="F43" t="s">
        <v>230</v>
      </c>
      <c r="G43" t="s">
        <v>687</v>
      </c>
    </row>
    <row r="44">
      <c r="B44" t="s">
        <v>560</v>
      </c>
      <c r="C44" s="4">
        <v>25</v>
      </c>
      <c r="D44" t="s">
        <v>230</v>
      </c>
      <c r="E44" s="4">
        <v>100</v>
      </c>
      <c r="F44" t="s">
        <v>230</v>
      </c>
    </row>
    <row r="45">
      <c r="B45" t="s">
        <v>688</v>
      </c>
      <c r="C45">
        <v>16</v>
      </c>
      <c r="D45" t="s">
        <v>230</v>
      </c>
      <c r="E45" s="4">
        <v>100</v>
      </c>
      <c r="F45" t="s">
        <v>230</v>
      </c>
    </row>
    <row r="46">
      <c r="A46" t="s">
        <v>1120</v>
      </c>
    </row>
    <row r="47">
      <c r="A47" t="s">
        <v>690</v>
      </c>
    </row>
    <row r="48">
      <c r="A48" t="s">
        <v>691</v>
      </c>
      <c r="C48">
        <v>0.975</v>
      </c>
      <c r="D48" t="s">
        <v>199</v>
      </c>
      <c r="E48">
        <v>15</v>
      </c>
      <c r="F48" t="s">
        <v>662</v>
      </c>
      <c r="G48">
        <v>2.4</v>
      </c>
      <c r="H48" t="s">
        <v>53</v>
      </c>
      <c r="I48" s="1">
        <v>35.1</v>
      </c>
      <c r="J48" t="s">
        <v>630</v>
      </c>
    </row>
    <row r="49">
      <c r="A49" t="s">
        <v>663</v>
      </c>
      <c r="C49">
        <v>0.075</v>
      </c>
      <c r="D49" t="s">
        <v>199</v>
      </c>
      <c r="E49">
        <v>12</v>
      </c>
      <c r="F49" t="s">
        <v>662</v>
      </c>
      <c r="G49">
        <v>2.4</v>
      </c>
      <c r="H49" t="s">
        <v>53</v>
      </c>
      <c r="I49" s="1">
        <v>2.1599999999999997</v>
      </c>
      <c r="J49" t="s">
        <v>630</v>
      </c>
    </row>
    <row r="50">
      <c r="G50" t="s">
        <v>171</v>
      </c>
      <c r="I50" s="1">
        <v>37.26</v>
      </c>
      <c r="J50" t="s">
        <v>630</v>
      </c>
    </row>
    <row r="51">
      <c r="A51" t="s">
        <v>1121</v>
      </c>
      <c r="E51" t="s">
        <v>53</v>
      </c>
    </row>
    <row r="52">
      <c r="E52" s="1">
        <v>37.26</v>
      </c>
      <c r="F52" t="s">
        <v>107</v>
      </c>
      <c r="G52">
        <v>2</v>
      </c>
      <c r="H52" t="s">
        <v>53</v>
      </c>
      <c r="I52" s="1">
        <v>18.63</v>
      </c>
      <c r="J52" t="s">
        <v>693</v>
      </c>
    </row>
    <row r="53">
      <c r="A53" t="s">
        <v>1122</v>
      </c>
      <c r="E53" t="s">
        <v>695</v>
      </c>
      <c r="I53">
        <v>64.69</v>
      </c>
      <c r="J53" t="s">
        <v>630</v>
      </c>
    </row>
    <row r="55">
      <c r="A55" t="s">
        <v>696</v>
      </c>
    </row>
    <row r="56">
      <c r="A56" t="s">
        <v>697</v>
      </c>
      <c r="C56" t="s">
        <v>695</v>
      </c>
      <c r="D56">
        <v>5.3</v>
      </c>
      <c r="E56" t="s">
        <v>92</v>
      </c>
    </row>
    <row r="58">
      <c r="A58" t="s">
        <v>1123</v>
      </c>
      <c r="E58" s="1">
        <v>64.69</v>
      </c>
      <c r="F58" t="s">
        <v>107</v>
      </c>
      <c r="G58">
        <v>5.3</v>
      </c>
      <c r="H58" t="s">
        <v>53</v>
      </c>
      <c r="I58" s="1">
        <v>12.205660377358491</v>
      </c>
      <c r="J58" t="s">
        <v>693</v>
      </c>
    </row>
    <row r="59">
      <c r="A59" t="s">
        <v>1124</v>
      </c>
      <c r="D59" s="1">
        <v>18.63</v>
      </c>
      <c r="E59" t="s">
        <v>148</v>
      </c>
      <c r="F59" s="1">
        <v>12.205660377358491</v>
      </c>
      <c r="H59" t="s">
        <v>53</v>
      </c>
      <c r="I59" s="1">
        <v>30.84</v>
      </c>
      <c r="J59" t="s">
        <v>630</v>
      </c>
    </row>
    <row r="60">
      <c r="A60" t="s">
        <v>700</v>
      </c>
      <c r="I60" t="s">
        <v>676</v>
      </c>
    </row>
    <row r="61">
      <c r="A61" t="s">
        <v>1125</v>
      </c>
    </row>
    <row r="62">
      <c r="A62" t="s">
        <v>702</v>
      </c>
    </row>
    <row r="63" ht="28.5" customHeight="1">
      <c r="A63" t="s">
        <v>703</v>
      </c>
      <c r="C63" s="1">
        <v>30.84</v>
      </c>
      <c r="D63" t="s">
        <v>91</v>
      </c>
      <c r="E63">
        <v>0</v>
      </c>
      <c r="H63" s="1">
        <v>0</v>
      </c>
      <c r="I63" t="s">
        <v>682</v>
      </c>
    </row>
    <row r="64">
      <c r="A64" t="s">
        <v>704</v>
      </c>
    </row>
    <row r="65">
      <c r="A65" t="s">
        <v>1126</v>
      </c>
    </row>
    <row r="66">
      <c r="A66" t="s">
        <v>1127</v>
      </c>
    </row>
    <row r="67">
      <c r="A67" t="s">
        <v>707</v>
      </c>
    </row>
    <row r="68">
      <c r="A68" t="s">
        <v>1128</v>
      </c>
    </row>
    <row r="69">
      <c r="A69" t="s">
        <v>709</v>
      </c>
    </row>
    <row r="70">
      <c r="A70" t="s">
        <v>710</v>
      </c>
    </row>
    <row r="71">
      <c r="A71" t="s">
        <v>711</v>
      </c>
    </row>
    <row r="72" ht="14.25" customHeight="1">
      <c r="A72" t="s">
        <v>712</v>
      </c>
      <c r="F72">
        <v>250</v>
      </c>
      <c r="G72" t="s">
        <v>91</v>
      </c>
      <c r="H72">
        <v>1.2</v>
      </c>
      <c r="I72" t="s">
        <v>53</v>
      </c>
      <c r="J72">
        <v>300</v>
      </c>
      <c r="K72" t="s">
        <v>457</v>
      </c>
    </row>
    <row r="73">
      <c r="A73" t="s">
        <v>1129</v>
      </c>
    </row>
    <row r="74">
      <c r="A74" t="s">
        <v>1130</v>
      </c>
    </row>
    <row r="75">
      <c r="A75" t="s">
        <v>715</v>
      </c>
    </row>
    <row r="76" ht="14.25" customHeight="1">
      <c r="A76" t="s">
        <v>716</v>
      </c>
      <c r="C76" t="s">
        <v>53</v>
      </c>
      <c r="D76">
        <v>6874</v>
      </c>
      <c r="E76" t="s">
        <v>457</v>
      </c>
      <c r="F76" t="s">
        <v>717</v>
      </c>
      <c r="H76" t="s">
        <v>718</v>
      </c>
    </row>
    <row r="78">
      <c r="A78" t="s">
        <v>719</v>
      </c>
    </row>
    <row r="79" ht="14.25" customHeight="1">
      <c r="A79" t="s">
        <v>720</v>
      </c>
      <c r="C79" t="s">
        <v>53</v>
      </c>
      <c r="D79">
        <v>2814</v>
      </c>
      <c r="E79" t="s">
        <v>457</v>
      </c>
      <c r="F79" t="s">
        <v>717</v>
      </c>
      <c r="H79" t="s">
        <v>718</v>
      </c>
    </row>
    <row r="80">
      <c r="A80" t="s">
        <v>721</v>
      </c>
    </row>
    <row r="81">
      <c r="B81" t="s">
        <v>722</v>
      </c>
      <c r="C81" s="1">
        <v>30.84</v>
      </c>
      <c r="D81" t="s">
        <v>630</v>
      </c>
    </row>
    <row r="82">
      <c r="B82" t="s">
        <v>567</v>
      </c>
      <c r="E82" s="1">
        <v>308.4</v>
      </c>
      <c r="F82" t="s">
        <v>204</v>
      </c>
    </row>
    <row r="83">
      <c r="B83" t="s">
        <v>568</v>
      </c>
      <c r="C83" t="s">
        <v>569</v>
      </c>
    </row>
    <row r="84" ht="14.25" customHeight="1">
      <c r="B84" t="s">
        <v>570</v>
      </c>
      <c r="E84" s="1">
        <v>0.2711208791208791</v>
      </c>
      <c r="F84" s="1" t="s">
        <v>232</v>
      </c>
    </row>
    <row r="85">
      <c r="B85" t="s">
        <v>571</v>
      </c>
      <c r="C85" t="s">
        <v>572</v>
      </c>
      <c r="E85" s="1">
        <v>0.2473846153846154</v>
      </c>
    </row>
    <row r="86" ht="14.25" customHeight="1">
      <c r="B86" t="s">
        <v>573</v>
      </c>
      <c r="E86" s="1">
        <v>0.23</v>
      </c>
      <c r="F86" s="1" t="s">
        <v>232</v>
      </c>
    </row>
    <row r="87">
      <c r="B87" t="s">
        <v>574</v>
      </c>
    </row>
    <row r="88" ht="14.25" customHeight="1">
      <c r="B88" t="s">
        <v>575</v>
      </c>
      <c r="E88" s="1">
        <v>0.23</v>
      </c>
      <c r="F88" s="1" t="s">
        <v>232</v>
      </c>
    </row>
    <row r="89" ht="26.25" customHeight="1">
      <c r="D89" t="s">
        <v>576</v>
      </c>
    </row>
    <row r="90" ht="21" customHeight="1">
      <c r="B90" t="s">
        <v>577</v>
      </c>
      <c r="E90">
        <v>16</v>
      </c>
      <c r="F90" t="s">
        <v>230</v>
      </c>
    </row>
    <row r="91" ht="14.25" customHeight="1">
      <c r="B91" t="s">
        <v>558</v>
      </c>
      <c r="E91" s="4">
        <v>200.96</v>
      </c>
      <c r="F91" t="s">
        <v>457</v>
      </c>
    </row>
    <row r="92">
      <c r="B92" t="s">
        <v>578</v>
      </c>
      <c r="E92" s="4">
        <v>296.48767833981844</v>
      </c>
      <c r="F92" t="s">
        <v>230</v>
      </c>
    </row>
    <row r="93">
      <c r="B93" t="s">
        <v>554</v>
      </c>
      <c r="C93">
        <v>16</v>
      </c>
      <c r="D93" t="s">
        <v>230</v>
      </c>
      <c r="E93">
        <v>100</v>
      </c>
      <c r="F93" t="s">
        <v>230</v>
      </c>
      <c r="G93" t="s">
        <v>687</v>
      </c>
    </row>
    <row r="94">
      <c r="A94" t="s">
        <v>723</v>
      </c>
    </row>
    <row r="95">
      <c r="A95" t="s">
        <v>1131</v>
      </c>
    </row>
    <row r="96">
      <c r="A96" t="s">
        <v>1132</v>
      </c>
    </row>
    <row r="97"/>
    <row r="98">
      <c r="A98" t="s">
        <v>726</v>
      </c>
    </row>
    <row r="99">
      <c r="B99" t="s">
        <v>722</v>
      </c>
      <c r="C99">
        <v>20.3</v>
      </c>
      <c r="D99" t="s">
        <v>630</v>
      </c>
    </row>
    <row r="100">
      <c r="B100" t="s">
        <v>567</v>
      </c>
      <c r="E100" s="1">
        <v>203</v>
      </c>
      <c r="F100" t="s">
        <v>204</v>
      </c>
    </row>
    <row r="101">
      <c r="B101" t="s">
        <v>568</v>
      </c>
      <c r="C101" t="s">
        <v>569</v>
      </c>
    </row>
    <row r="102" ht="14.25" customHeight="1">
      <c r="B102" t="s">
        <v>570</v>
      </c>
      <c r="E102" s="1">
        <v>0.17846153846153845</v>
      </c>
      <c r="F102" s="1" t="s">
        <v>232</v>
      </c>
    </row>
    <row r="103">
      <c r="B103" t="s">
        <v>571</v>
      </c>
      <c r="C103" t="s">
        <v>572</v>
      </c>
      <c r="E103" s="1">
        <v>0.2473846153846154</v>
      </c>
    </row>
    <row r="104" ht="14.25" customHeight="1">
      <c r="B104" t="s">
        <v>573</v>
      </c>
      <c r="E104" s="1">
        <v>0.23</v>
      </c>
      <c r="F104" s="1" t="s">
        <v>232</v>
      </c>
    </row>
    <row r="105">
      <c r="B105" t="s">
        <v>574</v>
      </c>
    </row>
    <row r="106" ht="14.25" customHeight="1">
      <c r="B106" t="s">
        <v>575</v>
      </c>
      <c r="E106" s="1">
        <v>0.23</v>
      </c>
      <c r="F106" s="1" t="s">
        <v>232</v>
      </c>
    </row>
    <row r="107" ht="26.25" customHeight="1">
      <c r="D107" t="s">
        <v>727</v>
      </c>
    </row>
    <row r="108">
      <c r="A108" t="s">
        <v>723</v>
      </c>
    </row>
    <row r="109">
      <c r="A109" t="s">
        <v>1131</v>
      </c>
    </row>
    <row r="110">
      <c r="A110" t="s">
        <v>1132</v>
      </c>
    </row>
  </sheetData>
  <mergeCells count="4">
    <mergeCell ref="A23:B23"/>
    <mergeCell ref="A63:B63"/>
    <mergeCell ref="D89:G89"/>
    <mergeCell ref="D107:G107"/>
  </mergeCells>
  <pageMargins left="0.75" right="0.75" top="1" bottom="1" header="0.5" footer="0.5"/>
  <ignoredErrors>
    <ignoredError numberStoredAsText="1" sqref="A1:N110"/>
  </ignoredErrors>
</worksheet>
</file>

<file path=xl/worksheets/sheet39.xml><?xml version="1.0" encoding="utf-8"?>
<worksheet xmlns="http://schemas.openxmlformats.org/spreadsheetml/2006/main" xmlns:r="http://schemas.openxmlformats.org/officeDocument/2006/relationships">
  <dimension ref="A1:P50"/>
  <sheetViews>
    <sheetView workbookViewId="0" rightToLeft="0"/>
  </sheetViews>
  <cols>
    <col min="5" max="5" customWidth="1" width="6.28515625"/>
    <col min="6" max="6" customWidth="1" width="10.42578125"/>
    <col min="7" max="7" customWidth="1" width="8.42578125"/>
    <col min="8" max="8" customWidth="1" width="16.42578125"/>
    <col min="9" max="9" customWidth="1" width="4.5703125"/>
  </cols>
  <sheetData>
    <row r="1" ht="18" customHeight="1">
      <c r="A1" t="s">
        <v>1133</v>
      </c>
    </row>
    <row r="2">
      <c r="A2" t="s">
        <v>1134</v>
      </c>
      <c r="F2" s="1">
        <v>31.6</v>
      </c>
      <c r="G2" t="s">
        <v>889</v>
      </c>
    </row>
    <row r="3">
      <c r="A3" t="s">
        <v>1135</v>
      </c>
      <c r="F3">
        <v>1000</v>
      </c>
      <c r="G3" t="s">
        <v>465</v>
      </c>
      <c r="H3" t="s">
        <v>1136</v>
      </c>
      <c r="I3" s="1">
        <v>0.003933333333333334</v>
      </c>
    </row>
    <row r="4">
      <c r="A4" t="s">
        <v>1137</v>
      </c>
      <c r="F4">
        <v>300</v>
      </c>
      <c r="G4" t="s">
        <v>465</v>
      </c>
      <c r="H4" t="s">
        <v>1138</v>
      </c>
      <c r="I4" s="1">
        <v>0.005333333333333334</v>
      </c>
    </row>
    <row r="5">
      <c r="A5" t="s">
        <v>1139</v>
      </c>
      <c r="F5" s="1">
        <v>12.8</v>
      </c>
      <c r="G5" t="s">
        <v>1140</v>
      </c>
    </row>
    <row r="6">
      <c r="A6" t="s">
        <v>1141</v>
      </c>
      <c r="F6" s="1">
        <v>47.400000000000006</v>
      </c>
      <c r="G6" t="s">
        <v>889</v>
      </c>
    </row>
    <row r="7">
      <c r="A7" t="s">
        <v>1142</v>
      </c>
      <c r="F7" s="1">
        <v>19.200000000000003</v>
      </c>
      <c r="G7" t="s">
        <v>1140</v>
      </c>
    </row>
    <row r="8">
      <c r="A8" t="s">
        <v>1143</v>
      </c>
      <c r="F8">
        <v>10</v>
      </c>
      <c r="G8" t="s">
        <v>465</v>
      </c>
    </row>
    <row r="9">
      <c r="A9" t="s">
        <v>1144</v>
      </c>
      <c r="F9">
        <v>40</v>
      </c>
      <c r="G9" t="s">
        <v>465</v>
      </c>
    </row>
    <row r="10">
      <c r="A10" t="s">
        <v>1145</v>
      </c>
      <c r="F10">
        <v>45</v>
      </c>
      <c r="G10" t="s">
        <v>465</v>
      </c>
    </row>
    <row r="11">
      <c r="A11" t="s">
        <v>1146</v>
      </c>
      <c r="F11" s="1">
        <v>0.15</v>
      </c>
    </row>
    <row r="12">
      <c r="A12" t="s">
        <v>1147</v>
      </c>
      <c r="F12" s="1">
        <v>0.15</v>
      </c>
    </row>
    <row r="13">
      <c r="A13" t="s">
        <v>1148</v>
      </c>
      <c r="F13" s="1">
        <v>0.005266666666666668</v>
      </c>
    </row>
    <row r="14" ht="14.25" customHeight="1">
      <c r="A14" t="s">
        <v>1149</v>
      </c>
      <c r="F14" s="1">
        <v>0.007111111111111112</v>
      </c>
    </row>
    <row r="15">
      <c r="A15" t="s">
        <v>1150</v>
      </c>
    </row>
    <row r="16">
      <c r="A16" t="s">
        <v>1151</v>
      </c>
      <c r="F16">
        <v>33</v>
      </c>
      <c r="H16" t="s">
        <v>1152</v>
      </c>
    </row>
    <row r="17">
      <c r="A17" t="s">
        <v>1153</v>
      </c>
      <c r="F17">
        <v>0.01</v>
      </c>
    </row>
    <row r="18">
      <c r="A18" t="s">
        <v>60</v>
      </c>
      <c r="F18">
        <v>0.3</v>
      </c>
      <c r="H18" t="s">
        <v>1154</v>
      </c>
    </row>
    <row r="19">
      <c r="A19" t="s">
        <v>1155</v>
      </c>
      <c r="F19">
        <v>900</v>
      </c>
      <c r="G19" t="s">
        <v>1156</v>
      </c>
    </row>
    <row r="20">
      <c r="A20" t="s">
        <v>1157</v>
      </c>
      <c r="F20" s="4">
        <v>12</v>
      </c>
    </row>
    <row r="21">
      <c r="A21" t="s">
        <v>1158</v>
      </c>
      <c r="F21" s="4">
        <v>6</v>
      </c>
    </row>
    <row r="22">
      <c r="A22" t="s">
        <v>1159</v>
      </c>
      <c r="F22">
        <v>200</v>
      </c>
      <c r="G22" t="s">
        <v>465</v>
      </c>
    </row>
    <row r="24" ht="15.75" customHeight="1">
      <c r="A24" t="s">
        <v>1160</v>
      </c>
    </row>
    <row r="26">
      <c r="D26" t="s">
        <v>1161</v>
      </c>
      <c r="E26" t="s">
        <v>53</v>
      </c>
      <c r="F26" s="1">
        <v>12.8</v>
      </c>
      <c r="G26" t="s">
        <v>1140</v>
      </c>
    </row>
    <row r="27" ht="14.25" customHeight="1">
      <c r="C27" t="s">
        <v>1162</v>
      </c>
      <c r="F27" s="1">
        <v>12.8</v>
      </c>
      <c r="G27" t="s">
        <v>91</v>
      </c>
      <c r="H27" t="s">
        <v>1163</v>
      </c>
      <c r="I27" t="s">
        <v>53</v>
      </c>
      <c r="J27">
        <v>118.7</v>
      </c>
      <c r="K27" t="s">
        <v>230</v>
      </c>
    </row>
    <row r="28">
      <c r="F28">
        <v>1000</v>
      </c>
      <c r="G28" t="s">
        <v>91</v>
      </c>
      <c r="H28">
        <v>0.972</v>
      </c>
    </row>
    <row r="29">
      <c r="C29" t="s">
        <v>1164</v>
      </c>
      <c r="D29">
        <v>300</v>
      </c>
      <c r="E29" t="s">
        <v>136</v>
      </c>
      <c r="F29">
        <v>50</v>
      </c>
      <c r="G29" t="s">
        <v>136</v>
      </c>
      <c r="H29">
        <v>16</v>
      </c>
      <c r="I29" t="s">
        <v>53</v>
      </c>
      <c r="J29">
        <v>245</v>
      </c>
      <c r="K29" t="s">
        <v>230</v>
      </c>
      <c r="L29" t="s">
        <v>1165</v>
      </c>
      <c r="M29">
        <v>118.7</v>
      </c>
      <c r="O29" t="s">
        <v>230</v>
      </c>
      <c r="P29" t="s">
        <v>1166</v>
      </c>
    </row>
    <row r="30">
      <c r="H30">
        <v>2</v>
      </c>
    </row>
    <row r="31" ht="14.25" customHeight="1">
      <c r="C31" t="s">
        <v>1167</v>
      </c>
      <c r="D31" t="s">
        <v>53</v>
      </c>
      <c r="F31" s="1">
        <v>12.8</v>
      </c>
      <c r="G31" t="s">
        <v>440</v>
      </c>
      <c r="I31" t="s">
        <v>1163</v>
      </c>
      <c r="K31" t="s">
        <v>53</v>
      </c>
      <c r="L31" s="1">
        <v>284.86858211114327</v>
      </c>
      <c r="M31" t="s">
        <v>457</v>
      </c>
    </row>
    <row r="32">
      <c r="F32">
        <v>200</v>
      </c>
      <c r="G32" t="s">
        <v>440</v>
      </c>
      <c r="H32">
        <v>0.917</v>
      </c>
      <c r="I32" t="s">
        <v>91</v>
      </c>
      <c r="J32">
        <v>245</v>
      </c>
    </row>
    <row r="33">
      <c r="B33" t="s">
        <v>1168</v>
      </c>
      <c r="F33" t="s">
        <v>1169</v>
      </c>
      <c r="G33" t="s">
        <v>1170</v>
      </c>
    </row>
    <row r="35">
      <c r="B35" t="s">
        <v>1171</v>
      </c>
    </row>
    <row r="36" ht="14.25" customHeight="1">
      <c r="B36" t="s">
        <v>1172</v>
      </c>
      <c r="G36" t="s">
        <v>53</v>
      </c>
      <c r="H36" s="4">
        <v>524</v>
      </c>
      <c r="I36" t="s">
        <v>457</v>
      </c>
    </row>
    <row r="37" ht="14.25" customHeight="1">
      <c r="B37" t="s">
        <v>1173</v>
      </c>
      <c r="G37" t="s">
        <v>53</v>
      </c>
      <c r="H37">
        <v>524</v>
      </c>
      <c r="I37" t="s">
        <v>457</v>
      </c>
    </row>
    <row r="38">
      <c r="B38" t="s">
        <v>1174</v>
      </c>
    </row>
    <row r="39">
      <c r="B39" t="s">
        <v>53</v>
      </c>
      <c r="C39">
        <v>0.002</v>
      </c>
      <c r="D39" t="s">
        <v>91</v>
      </c>
      <c r="E39">
        <v>1000</v>
      </c>
      <c r="F39" t="s">
        <v>91</v>
      </c>
      <c r="G39">
        <v>250</v>
      </c>
    </row>
    <row r="40" ht="14.25" customHeight="1">
      <c r="B40" t="s">
        <v>53</v>
      </c>
      <c r="D40" s="4">
        <v>500</v>
      </c>
      <c r="E40" t="s">
        <v>457</v>
      </c>
    </row>
    <row r="41" ht="14.25" customHeight="1">
      <c r="B41" t="s">
        <v>1175</v>
      </c>
      <c r="D41" t="s">
        <v>1176</v>
      </c>
    </row>
    <row r="42" ht="14.25" customHeight="1">
      <c r="B42" t="s">
        <v>1177</v>
      </c>
      <c r="D42" t="s">
        <v>1178</v>
      </c>
      <c r="F42" t="s">
        <v>1179</v>
      </c>
      <c r="G42" t="s">
        <v>53</v>
      </c>
      <c r="H42" s="4">
        <v>314</v>
      </c>
      <c r="I42" t="s">
        <v>457</v>
      </c>
    </row>
    <row r="43">
      <c r="C43" t="s">
        <v>504</v>
      </c>
    </row>
    <row r="44">
      <c r="C44" t="s">
        <v>1180</v>
      </c>
    </row>
    <row r="45">
      <c r="C45" t="s">
        <v>1181</v>
      </c>
      <c r="D45">
        <v>10</v>
      </c>
      <c r="E45" t="s">
        <v>230</v>
      </c>
    </row>
    <row r="46">
      <c r="C46" t="s">
        <v>464</v>
      </c>
      <c r="D46">
        <v>150</v>
      </c>
      <c r="E46" t="s">
        <v>230</v>
      </c>
    </row>
    <row r="47"/>
    <row r="48">
      <c r="C48" t="s">
        <v>1182</v>
      </c>
    </row>
    <row r="49">
      <c r="C49" t="s">
        <v>1181</v>
      </c>
      <c r="D49">
        <v>10</v>
      </c>
      <c r="E49" t="s">
        <v>230</v>
      </c>
    </row>
    <row r="50">
      <c r="C50" t="s">
        <v>464</v>
      </c>
      <c r="D50">
        <v>250</v>
      </c>
      <c r="E50" t="s">
        <v>230</v>
      </c>
    </row>
  </sheetData>
  <mergeCells count="13">
    <mergeCell ref="I27:I28"/>
    <mergeCell ref="J27:J28"/>
    <mergeCell ref="K27:K28"/>
    <mergeCell ref="I29:I30"/>
    <mergeCell ref="J29:J30"/>
    <mergeCell ref="K29:K30"/>
    <mergeCell ref="L29:L30"/>
    <mergeCell ref="M29:N30"/>
    <mergeCell ref="O29:O30"/>
    <mergeCell ref="P29:P30"/>
    <mergeCell ref="I31:J31"/>
    <mergeCell ref="K31:K32"/>
    <mergeCell ref="L31:L32"/>
  </mergeCells>
  <pageMargins left="0.75" right="0.75" top="1" bottom="1" header="0.5" footer="0.5"/>
  <ignoredErrors>
    <ignoredError numberStoredAsText="1" sqref="A1:P50"/>
  </ignoredErrors>
</worksheet>
</file>

<file path=xl/worksheets/sheet40.xml><?xml version="1.0" encoding="utf-8"?>
<worksheet xmlns="http://schemas.openxmlformats.org/spreadsheetml/2006/main" xmlns:r="http://schemas.openxmlformats.org/officeDocument/2006/relationships">
  <dimension ref="A1:P97"/>
  <sheetViews>
    <sheetView workbookViewId="0" rightToLeft="0"/>
  </sheetViews>
  <cols>
    <col min="1" max="1" customWidth="1" width="3.7109375"/>
    <col min="2" max="2" customWidth="1" width="6"/>
    <col min="3" max="3" customWidth="1" width="6"/>
    <col min="4" max="4" customWidth="1" width="12.42578125"/>
    <col min="5" max="5" customWidth="1" width="7.7109375"/>
    <col min="6" max="6" customWidth="1" width="7.140625"/>
    <col min="7" max="7" customWidth="1" width="6.42578125"/>
    <col min="8" max="8" customWidth="1" width="6"/>
    <col min="9" max="9" customWidth="1" width="1.85546875"/>
    <col min="10" max="10" customWidth="1" width="5.85546875"/>
    <col min="11" max="11" customWidth="1" width="5.85546875"/>
    <col min="12" max="12" customWidth="1" width="7.28515625"/>
    <col min="13" max="13" customWidth="1" width="3.42578125"/>
    <col min="14" max="14" customWidth="1" width="5.5703125"/>
    <col min="15" max="15" customWidth="1" width="7"/>
    <col min="16" max="16" customWidth="1" width="6.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c r="A1" t="s">
        <v>1183</v>
      </c>
    </row>
    <row r="2">
      <c r="B2" t="s">
        <v>1184</v>
      </c>
    </row>
    <row r="3">
      <c r="B3" t="s">
        <v>1185</v>
      </c>
      <c r="C3" t="s">
        <v>936</v>
      </c>
    </row>
    <row r="4">
      <c r="B4" t="s">
        <v>1186</v>
      </c>
      <c r="C4" t="s">
        <v>1187</v>
      </c>
    </row>
    <row r="5">
      <c r="B5" t="s">
        <v>1188</v>
      </c>
      <c r="C5" t="s">
        <v>1189</v>
      </c>
    </row>
    <row r="6">
      <c r="B6" t="s">
        <v>1188</v>
      </c>
      <c r="C6" t="s">
        <v>1190</v>
      </c>
    </row>
    <row r="7">
      <c r="B7" t="s">
        <v>1191</v>
      </c>
      <c r="C7" t="s">
        <v>1192</v>
      </c>
    </row>
    <row r="8">
      <c r="C8" t="s">
        <v>1193</v>
      </c>
    </row>
    <row r="9">
      <c r="C9" t="s">
        <v>1194</v>
      </c>
    </row>
    <row r="11">
      <c r="B11" t="s">
        <v>53</v>
      </c>
      <c r="C11" s="1">
        <v>2.9</v>
      </c>
      <c r="D11" t="s">
        <v>148</v>
      </c>
      <c r="E11" t="s">
        <v>234</v>
      </c>
      <c r="F11">
        <v>1.2</v>
      </c>
      <c r="G11" t="s">
        <v>148</v>
      </c>
      <c r="H11">
        <v>0.305</v>
      </c>
      <c r="I11" t="s">
        <v>105</v>
      </c>
      <c r="J11" t="s">
        <v>148</v>
      </c>
      <c r="K11">
        <v>0.83</v>
      </c>
    </row>
    <row r="13">
      <c r="B13" t="s">
        <v>53</v>
      </c>
      <c r="C13" s="1">
        <v>2.9</v>
      </c>
      <c r="D13" t="s">
        <v>148</v>
      </c>
      <c r="E13">
        <v>1.53</v>
      </c>
      <c r="G13" t="s">
        <v>148</v>
      </c>
      <c r="H13">
        <v>0.825</v>
      </c>
    </row>
    <row r="15">
      <c r="B15" t="s">
        <v>53</v>
      </c>
      <c r="C15">
        <v>5.255</v>
      </c>
      <c r="D15" t="s">
        <v>92</v>
      </c>
    </row>
    <row r="16">
      <c r="B16" t="s">
        <v>1195</v>
      </c>
      <c r="D16" t="s">
        <v>53</v>
      </c>
      <c r="E16">
        <v>14</v>
      </c>
      <c r="G16" t="s">
        <v>53</v>
      </c>
      <c r="H16">
        <v>2.66</v>
      </c>
      <c r="I16" t="s">
        <v>625</v>
      </c>
    </row>
    <row r="17">
      <c r="B17" t="s">
        <v>1196</v>
      </c>
      <c r="E17">
        <v>5.255</v>
      </c>
    </row>
    <row r="18">
      <c r="B18" t="s">
        <v>1197</v>
      </c>
      <c r="C18" t="s">
        <v>1198</v>
      </c>
    </row>
    <row r="19">
      <c r="B19" t="s">
        <v>53</v>
      </c>
      <c r="C19">
        <v>0.6</v>
      </c>
      <c r="D19" t="s">
        <v>91</v>
      </c>
      <c r="E19">
        <v>0.3</v>
      </c>
      <c r="F19" t="s">
        <v>91</v>
      </c>
      <c r="G19">
        <v>2.4</v>
      </c>
    </row>
    <row r="21">
      <c r="B21" t="s">
        <v>53</v>
      </c>
      <c r="C21">
        <v>0.495</v>
      </c>
      <c r="D21" t="s">
        <v>625</v>
      </c>
    </row>
    <row r="23">
      <c r="B23" t="s">
        <v>1199</v>
      </c>
      <c r="C23">
        <v>0.5</v>
      </c>
      <c r="D23" t="s">
        <v>625</v>
      </c>
    </row>
    <row r="25">
      <c r="B25" t="s">
        <v>1200</v>
      </c>
      <c r="E25">
        <v>2.66</v>
      </c>
      <c r="G25" t="s">
        <v>148</v>
      </c>
      <c r="H25">
        <v>0.5</v>
      </c>
      <c r="I25" t="s">
        <v>53</v>
      </c>
      <c r="J25">
        <v>3.16</v>
      </c>
      <c r="L25" t="s">
        <v>625</v>
      </c>
      <c r="M25" t="s">
        <v>53</v>
      </c>
      <c r="N25">
        <f>J25*10</f>
        <v>31.6</v>
      </c>
      <c r="O25" t="s">
        <v>204</v>
      </c>
    </row>
    <row r="27">
      <c r="B27" t="s">
        <v>1201</v>
      </c>
    </row>
    <row r="28">
      <c r="B28" t="s">
        <v>1202</v>
      </c>
    </row>
    <row r="29">
      <c r="B29" t="s">
        <v>1203</v>
      </c>
    </row>
    <row r="31">
      <c r="B31" t="s">
        <v>1204</v>
      </c>
      <c r="E31" t="s">
        <v>53</v>
      </c>
      <c r="G31">
        <v>0.2</v>
      </c>
      <c r="H31" t="s">
        <v>91</v>
      </c>
      <c r="I31">
        <v>14</v>
      </c>
      <c r="K31" t="s">
        <v>91</v>
      </c>
      <c r="L31">
        <v>1</v>
      </c>
      <c r="M31" t="s">
        <v>53</v>
      </c>
      <c r="N31">
        <v>0.53</v>
      </c>
      <c r="O31" t="s">
        <v>630</v>
      </c>
    </row>
    <row r="32">
      <c r="H32">
        <v>5.255</v>
      </c>
    </row>
    <row r="33">
      <c r="B33" t="s">
        <v>1205</v>
      </c>
    </row>
    <row r="35">
      <c r="B35" t="s">
        <v>53</v>
      </c>
      <c r="C35">
        <v>0.53</v>
      </c>
      <c r="D35" t="s">
        <v>1206</v>
      </c>
      <c r="E35" s="9">
        <v>1.2</v>
      </c>
      <c r="F35" t="s">
        <v>1207</v>
      </c>
      <c r="G35">
        <v>0.83</v>
      </c>
      <c r="M35" t="s">
        <v>1208</v>
      </c>
    </row>
    <row r="36">
      <c r="B36" t="s">
        <v>53</v>
      </c>
      <c r="C36">
        <v>1.07</v>
      </c>
      <c r="D36" t="s">
        <v>890</v>
      </c>
    </row>
    <row r="37">
      <c r="B37" t="s">
        <v>1209</v>
      </c>
    </row>
    <row r="39">
      <c r="B39" t="s">
        <v>53</v>
      </c>
      <c r="C39">
        <v>0.224</v>
      </c>
      <c r="D39" t="s">
        <v>91</v>
      </c>
      <c r="E39" s="9">
        <v>1.8</v>
      </c>
      <c r="F39" t="s">
        <v>91</v>
      </c>
      <c r="G39">
        <v>1.2</v>
      </c>
    </row>
    <row r="41" ht="14.25" customHeight="1">
      <c r="B41" t="s">
        <v>53</v>
      </c>
      <c r="C41">
        <v>0.483</v>
      </c>
      <c r="D41" t="s">
        <v>1210</v>
      </c>
    </row>
    <row r="43">
      <c r="B43" t="s">
        <v>1211</v>
      </c>
      <c r="G43" t="s">
        <v>53</v>
      </c>
    </row>
    <row r="45">
      <c r="B45" t="s">
        <v>53</v>
      </c>
      <c r="C45">
        <v>0.224</v>
      </c>
      <c r="D45" t="s">
        <v>91</v>
      </c>
      <c r="E45" s="9">
        <v>1.8</v>
      </c>
      <c r="F45" t="s">
        <v>1212</v>
      </c>
      <c r="G45">
        <v>1.2</v>
      </c>
      <c r="H45" t="s">
        <v>148</v>
      </c>
      <c r="I45">
        <v>0.825</v>
      </c>
      <c r="K45" t="s">
        <v>105</v>
      </c>
    </row>
    <row r="47" ht="14.25" customHeight="1">
      <c r="B47" t="s">
        <v>53</v>
      </c>
      <c r="C47">
        <v>0.816</v>
      </c>
      <c r="D47" t="s">
        <v>1210</v>
      </c>
    </row>
    <row r="48">
      <c r="B48" t="s">
        <v>1213</v>
      </c>
    </row>
    <row r="49">
      <c r="B49" t="s">
        <v>1214</v>
      </c>
    </row>
    <row r="50">
      <c r="C50">
        <v>1</v>
      </c>
      <c r="D50" t="s">
        <v>1215</v>
      </c>
      <c r="E50">
        <v>0.816</v>
      </c>
      <c r="G50" t="s">
        <v>136</v>
      </c>
      <c r="H50">
        <v>0.483</v>
      </c>
      <c r="J50" t="s">
        <v>1216</v>
      </c>
      <c r="K50">
        <v>0.825</v>
      </c>
      <c r="L50" t="s">
        <v>440</v>
      </c>
      <c r="M50">
        <v>0.42</v>
      </c>
      <c r="O50" t="s">
        <v>440</v>
      </c>
      <c r="P50">
        <v>0.875</v>
      </c>
    </row>
    <row r="51">
      <c r="B51" t="s">
        <v>53</v>
      </c>
      <c r="C51">
        <v>2</v>
      </c>
    </row>
    <row r="53">
      <c r="D53" t="s">
        <v>148</v>
      </c>
      <c r="E53">
        <v>0.483</v>
      </c>
      <c r="G53" t="s">
        <v>440</v>
      </c>
      <c r="H53">
        <v>0.825</v>
      </c>
      <c r="J53" t="s">
        <v>1217</v>
      </c>
      <c r="K53">
        <v>0.528</v>
      </c>
    </row>
    <row r="54">
      <c r="K54">
        <v>2</v>
      </c>
    </row>
    <row r="55">
      <c r="B55" t="s">
        <v>53</v>
      </c>
      <c r="C55">
        <v>0.048</v>
      </c>
      <c r="D55" t="s">
        <v>148</v>
      </c>
      <c r="E55">
        <v>0.164</v>
      </c>
    </row>
    <row r="57">
      <c r="B57" t="s">
        <v>53</v>
      </c>
      <c r="C57">
        <v>0.21</v>
      </c>
      <c r="D57" t="s">
        <v>890</v>
      </c>
    </row>
    <row r="58">
      <c r="C58" t="s">
        <v>1218</v>
      </c>
    </row>
    <row r="60">
      <c r="B60" t="s">
        <v>53</v>
      </c>
      <c r="D60">
        <v>1.07</v>
      </c>
      <c r="E60" t="s">
        <v>148</v>
      </c>
      <c r="F60">
        <v>0.21</v>
      </c>
    </row>
    <row r="61"/>
    <row r="62">
      <c r="B62" t="s">
        <v>53</v>
      </c>
      <c r="D62">
        <v>1.28</v>
      </c>
      <c r="E62" t="s">
        <v>890</v>
      </c>
      <c r="F62" t="s">
        <v>53</v>
      </c>
      <c r="G62">
        <f>D62*10</f>
        <v>12.8</v>
      </c>
      <c r="H62" t="s">
        <v>323</v>
      </c>
    </row>
    <row r="63" ht="21" customHeight="1">
      <c r="B63" t="s">
        <v>1219</v>
      </c>
      <c r="D63" t="s">
        <v>53</v>
      </c>
      <c r="E63">
        <v>3.16</v>
      </c>
      <c r="G63" t="s">
        <v>440</v>
      </c>
      <c r="H63" t="s">
        <v>1220</v>
      </c>
    </row>
    <row r="64">
      <c r="F64">
        <v>30</v>
      </c>
      <c r="G64" t="s">
        <v>440</v>
      </c>
      <c r="H64">
        <v>100</v>
      </c>
    </row>
    <row r="65" ht="14.25" customHeight="1">
      <c r="D65" t="s">
        <v>53</v>
      </c>
      <c r="E65">
        <f>1.26*25/30</f>
        <v>1.05</v>
      </c>
      <c r="G65" t="s">
        <v>1221</v>
      </c>
    </row>
    <row r="68" ht="14.25" customHeight="1">
      <c r="B68" t="s">
        <v>1222</v>
      </c>
      <c r="D68" t="s">
        <v>53</v>
      </c>
      <c r="E68">
        <v>1.28</v>
      </c>
      <c r="G68" t="s">
        <v>440</v>
      </c>
      <c r="H68" t="s">
        <v>1220</v>
      </c>
    </row>
    <row r="69" ht="14.25" customHeight="1">
      <c r="E69">
        <v>1</v>
      </c>
      <c r="F69" t="s">
        <v>440</v>
      </c>
      <c r="G69">
        <v>100</v>
      </c>
      <c r="H69" t="s">
        <v>440</v>
      </c>
      <c r="I69" t="s">
        <v>1223</v>
      </c>
    </row>
    <row r="70">
      <c r="E70">
        <v>6</v>
      </c>
    </row>
    <row r="72" ht="14.25" customHeight="1">
      <c r="D72" t="s">
        <v>53</v>
      </c>
      <c r="E72" s="1">
        <f>1280/(100*900/6)</f>
        <v>0.08533333333333333</v>
      </c>
      <c r="G72" t="s">
        <v>1221</v>
      </c>
    </row>
    <row r="74">
      <c r="B74" t="s">
        <v>1224</v>
      </c>
    </row>
    <row r="75"/>
    <row r="76" ht="14.25" customHeight="1">
      <c r="B76" t="s">
        <v>1225</v>
      </c>
      <c r="G76">
        <v>67</v>
      </c>
      <c r="H76" t="s">
        <v>1221</v>
      </c>
    </row>
    <row r="79">
      <c r="B79" t="s">
        <v>1226</v>
      </c>
    </row>
    <row r="80" ht="14.25" customHeight="1">
      <c r="C80" t="s">
        <v>328</v>
      </c>
      <c r="D80" t="s">
        <v>53</v>
      </c>
      <c r="E80">
        <v>50</v>
      </c>
      <c r="F80" t="s">
        <v>1221</v>
      </c>
    </row>
    <row r="83">
      <c r="B83" t="s">
        <v>53</v>
      </c>
      <c r="D83">
        <v>1.05</v>
      </c>
      <c r="E83" t="s">
        <v>148</v>
      </c>
      <c r="F83">
        <v>0.09</v>
      </c>
      <c r="H83" t="s">
        <v>1021</v>
      </c>
      <c r="I83">
        <v>1</v>
      </c>
    </row>
    <row r="84">
      <c r="D84">
        <v>50</v>
      </c>
      <c r="F84">
        <v>67</v>
      </c>
    </row>
    <row r="86">
      <c r="B86" t="s">
        <v>53</v>
      </c>
      <c r="D86">
        <f>1.05/50</f>
        <v>0.021</v>
      </c>
      <c r="E86" t="s">
        <v>148</v>
      </c>
      <c r="F86" s="2">
        <f>0.09/67</f>
        <v>0.0013432835820895521</v>
      </c>
      <c r="H86" t="s">
        <v>1021</v>
      </c>
      <c r="I86">
        <v>1</v>
      </c>
    </row>
    <row r="87"/>
    <row r="88">
      <c r="B88" t="s">
        <v>53</v>
      </c>
      <c r="D88">
        <v>0.022</v>
      </c>
      <c r="H88" t="s">
        <v>1021</v>
      </c>
      <c r="I88">
        <v>1</v>
      </c>
      <c r="K88" t="s">
        <v>1227</v>
      </c>
    </row>
    <row r="94"/>
    <row r="95"/>
    <row r="97"/>
  </sheetData>
  <mergeCells count="43">
    <mergeCell ref="E13:F13"/>
    <mergeCell ref="D16:D17"/>
    <mergeCell ref="E16:F16"/>
    <mergeCell ref="G16:G17"/>
    <mergeCell ref="H16:H17"/>
    <mergeCell ref="I16:J17"/>
    <mergeCell ref="E17:F17"/>
    <mergeCell ref="E25:F25"/>
    <mergeCell ref="J25:K25"/>
    <mergeCell ref="I31:J31"/>
    <mergeCell ref="H32:J32"/>
    <mergeCell ref="G35:H35"/>
    <mergeCell ref="K35:L35"/>
    <mergeCell ref="H37:I37"/>
    <mergeCell ref="H43:I43"/>
    <mergeCell ref="I45:J45"/>
    <mergeCell ref="D50:D51"/>
    <mergeCell ref="E50:F51"/>
    <mergeCell ref="G50:G51"/>
    <mergeCell ref="H50:I51"/>
    <mergeCell ref="J50:J51"/>
    <mergeCell ref="K50:K51"/>
    <mergeCell ref="L50:L51"/>
    <mergeCell ref="M50:N51"/>
    <mergeCell ref="O50:O51"/>
    <mergeCell ref="P50:P51"/>
    <mergeCell ref="E53:F54"/>
    <mergeCell ref="G53:G54"/>
    <mergeCell ref="H53:I54"/>
    <mergeCell ref="J53:J54"/>
    <mergeCell ref="E55:F55"/>
    <mergeCell ref="E63:F63"/>
    <mergeCell ref="E65:F65"/>
    <mergeCell ref="E68:F68"/>
    <mergeCell ref="I69:J69"/>
    <mergeCell ref="E72:F72"/>
    <mergeCell ref="F86:G86"/>
    <mergeCell ref="E83:E84"/>
    <mergeCell ref="F83:G83"/>
    <mergeCell ref="H83:H84"/>
    <mergeCell ref="I83:I84"/>
    <mergeCell ref="J83:J84"/>
    <mergeCell ref="F84:G84"/>
  </mergeCells>
  <pageMargins left="0.75" right="0.75" top="1" bottom="1" header="0.5" footer="0.5"/>
  <ignoredErrors>
    <ignoredError numberStoredAsText="1" sqref="A1:P97"/>
  </ignoredErrors>
</worksheet>
</file>

<file path=xl/worksheets/sheet41.xml><?xml version="1.0" encoding="utf-8"?>
<worksheet xmlns="http://schemas.openxmlformats.org/spreadsheetml/2006/main" xmlns:r="http://schemas.openxmlformats.org/officeDocument/2006/relationships">
  <dimension ref="A1:J144"/>
  <sheetViews>
    <sheetView workbookViewId="0" rightToLeft="0"/>
  </sheetViews>
  <cols>
    <col min="1" max="1" customWidth="1" width="49"/>
  </cols>
  <sheetData>
    <row r="1">
      <c r="A1" t="s">
        <v>1228</v>
      </c>
    </row>
    <row r="2">
      <c r="A2" t="s">
        <v>1229</v>
      </c>
      <c r="B2">
        <v>925</v>
      </c>
      <c r="C2" t="s">
        <v>230</v>
      </c>
    </row>
    <row r="3">
      <c r="A3" t="s">
        <v>1230</v>
      </c>
      <c r="B3">
        <v>75</v>
      </c>
      <c r="C3" t="s">
        <v>230</v>
      </c>
    </row>
    <row r="4">
      <c r="A4" t="s">
        <v>1231</v>
      </c>
      <c r="B4">
        <v>25</v>
      </c>
      <c r="C4" t="s">
        <v>230</v>
      </c>
    </row>
    <row r="5">
      <c r="A5" t="s">
        <v>1232</v>
      </c>
      <c r="B5">
        <v>25</v>
      </c>
      <c r="C5" t="s">
        <v>230</v>
      </c>
    </row>
    <row r="6">
      <c r="A6" t="s">
        <v>1233</v>
      </c>
      <c r="B6">
        <f>B2</f>
        <v>925</v>
      </c>
      <c r="C6" t="s">
        <v>136</v>
      </c>
      <c r="D6">
        <f>B5</f>
        <v>25</v>
      </c>
      <c r="E6" t="s">
        <v>136</v>
      </c>
      <c r="F6">
        <f>B5</f>
        <v>25</v>
      </c>
      <c r="G6" t="s">
        <v>960</v>
      </c>
      <c r="H6">
        <f>B2-B5-B4/2</f>
        <v>887.5</v>
      </c>
      <c r="I6" t="s">
        <v>230</v>
      </c>
    </row>
    <row r="7">
      <c r="A7" t="s">
        <v>1234</v>
      </c>
      <c r="B7">
        <v>10</v>
      </c>
      <c r="C7" t="s">
        <v>85</v>
      </c>
    </row>
    <row r="8">
      <c r="A8" t="s">
        <v>1235</v>
      </c>
    </row>
    <row r="9">
      <c r="A9" t="s">
        <v>1236</v>
      </c>
      <c r="B9">
        <f>B2/1000</f>
        <v>0.925</v>
      </c>
      <c r="C9" t="s">
        <v>91</v>
      </c>
      <c r="D9">
        <v>2.4</v>
      </c>
      <c r="E9" t="s">
        <v>53</v>
      </c>
      <c r="F9">
        <f>B9*D9</f>
        <v>2.22</v>
      </c>
      <c r="G9" t="s">
        <v>1237</v>
      </c>
    </row>
    <row r="10">
      <c r="A10" t="s">
        <v>1238</v>
      </c>
      <c r="B10">
        <v>0.075</v>
      </c>
      <c r="C10" t="s">
        <v>91</v>
      </c>
      <c r="D10">
        <v>2.4</v>
      </c>
      <c r="E10" t="s">
        <v>53</v>
      </c>
      <c r="F10">
        <f>B10*D10</f>
        <v>0.18</v>
      </c>
      <c r="G10" t="s">
        <v>1237</v>
      </c>
    </row>
    <row r="11">
      <c r="A11" t="s">
        <v>1239</v>
      </c>
      <c r="F11">
        <f>SUM(F9:F10)</f>
        <v>2.4000000000000004</v>
      </c>
      <c r="G11" t="s">
        <v>1237</v>
      </c>
    </row>
    <row r="12">
      <c r="A12" t="s">
        <v>1240</v>
      </c>
      <c r="B12" t="s">
        <f>CONCATENATE(F11,"x",B7,"x",B7,"/8 =")</f>
        <v>1241</v>
      </c>
      <c r="F12" s="1">
        <f>F11*B7^2/8</f>
        <v>30.000000000000004</v>
      </c>
      <c r="G12" t="s">
        <v>890</v>
      </c>
    </row>
    <row r="13"/>
    <row r="14">
      <c r="A14" t="s">
        <v>581</v>
      </c>
    </row>
    <row r="15">
      <c r="A15" t="s">
        <v>582</v>
      </c>
    </row>
    <row r="16">
      <c r="A16" t="s">
        <v>583</v>
      </c>
    </row>
    <row r="17">
      <c r="A17" t="s">
        <v>585</v>
      </c>
    </row>
    <row r="18">
      <c r="A18" t="s">
        <f>CONCATENATE("= ",3.6,"+2(",B3/1000,"+",B2/1000,")=")</f>
        <v>1242</v>
      </c>
      <c r="B18" t="s">
        <v>53</v>
      </c>
      <c r="C18" s="1">
        <f>3.6+(B2+B3)/500</f>
        <v>5.6</v>
      </c>
      <c r="D18" t="s">
        <v>85</v>
      </c>
    </row>
    <row r="19"/>
    <row r="20">
      <c r="A20" t="s">
        <v>588</v>
      </c>
    </row>
    <row r="21">
      <c r="A21" t="s">
        <v>1243</v>
      </c>
    </row>
    <row r="22">
      <c r="A22" t="s">
        <v>1244</v>
      </c>
    </row>
    <row r="23">
      <c r="B23" t="s">
        <v>592</v>
      </c>
    </row>
    <row r="24">
      <c r="B24" t="s">
        <v>593</v>
      </c>
    </row>
    <row r="25">
      <c r="B25" t="s">
        <v>594</v>
      </c>
    </row>
    <row r="26">
      <c r="B26" t="s">
        <v>595</v>
      </c>
    </row>
    <row r="27">
      <c r="B27" t="s">
        <v>596</v>
      </c>
    </row>
    <row r="28">
      <c r="A28" t="s">
        <v>1245</v>
      </c>
    </row>
    <row r="29">
      <c r="A29" t="s">
        <v>1246</v>
      </c>
      <c r="B29" t="s">
        <v>53</v>
      </c>
      <c r="C29" s="1">
        <v>7.5</v>
      </c>
      <c r="D29" t="s">
        <v>85</v>
      </c>
    </row>
    <row r="30">
      <c r="A30" t="s">
        <v>1247</v>
      </c>
      <c r="B30" t="s">
        <v>53</v>
      </c>
      <c r="C30" s="1">
        <v>10</v>
      </c>
      <c r="D30" t="s">
        <v>85</v>
      </c>
    </row>
    <row r="31">
      <c r="A31" t="s">
        <v>1248</v>
      </c>
      <c r="B31" t="s">
        <v>53</v>
      </c>
      <c r="C31">
        <f>ROUND(C29/C30,2)</f>
        <v>0.75</v>
      </c>
    </row>
    <row r="32">
      <c r="A32" t="s">
        <v>1249</v>
      </c>
      <c r="B32" t="s">
        <v>586</v>
      </c>
      <c r="C32">
        <v>2.4</v>
      </c>
    </row>
    <row r="33">
      <c r="A33" t="s">
        <v>1250</v>
      </c>
      <c r="B33" t="s">
        <v>1251</v>
      </c>
      <c r="D33" s="1">
        <v>1</v>
      </c>
      <c r="E33" t="s">
        <v>85</v>
      </c>
    </row>
    <row r="34">
      <c r="A34" t="s">
        <v>91</v>
      </c>
      <c r="B34" t="s">
        <v>53</v>
      </c>
      <c r="C34" t="s">
        <v>1252</v>
      </c>
      <c r="D34" t="s">
        <v>53</v>
      </c>
      <c r="E34" s="1">
        <f>C30</f>
        <v>10</v>
      </c>
      <c r="F34" t="s">
        <v>960</v>
      </c>
      <c r="G34" s="1">
        <f>E34/2</f>
        <v>5</v>
      </c>
      <c r="H34" t="s">
        <v>85</v>
      </c>
    </row>
    <row r="35">
      <c r="A35" t="s">
        <v>1253</v>
      </c>
      <c r="B35" t="s">
        <v>53</v>
      </c>
      <c r="C35" s="1">
        <f>C32*(1-G34/C30)+D33</f>
        <v>2.2</v>
      </c>
      <c r="D35" t="s">
        <v>85</v>
      </c>
    </row>
    <row r="36">
      <c r="A36" t="s">
        <v>610</v>
      </c>
    </row>
    <row r="37">
      <c r="A37" t="s">
        <v>611</v>
      </c>
    </row>
    <row r="38">
      <c r="A38" t="s">
        <v>1254</v>
      </c>
    </row>
    <row r="39">
      <c r="A39" t="s">
        <v>1255</v>
      </c>
    </row>
    <row r="40">
      <c r="B40" t="s">
        <v>1256</v>
      </c>
    </row>
    <row r="41">
      <c r="A41" t="s">
        <v>1257</v>
      </c>
      <c r="H41">
        <f>1.925+3.825</f>
        <v>5.75</v>
      </c>
    </row>
    <row r="43">
      <c r="A43" t="s">
        <v>1258</v>
      </c>
      <c r="B43" t="s">
        <v>53</v>
      </c>
      <c r="C43">
        <f>2.05+1.93+2.8</f>
        <v>6.779999999999999</v>
      </c>
      <c r="D43" t="s">
        <v>92</v>
      </c>
    </row>
    <row r="44">
      <c r="A44" t="s">
        <v>620</v>
      </c>
    </row>
    <row r="45">
      <c r="A45" t="s">
        <v>1259</v>
      </c>
      <c r="B45" t="s">
        <v>1260</v>
      </c>
    </row>
    <row r="46">
      <c r="B46" t="s">
        <v>53</v>
      </c>
      <c r="C46">
        <f>ROUNDUP(70*1.1375,2)</f>
        <v>79.63000000000001</v>
      </c>
      <c r="D46" t="s">
        <v>630</v>
      </c>
    </row>
    <row r="47">
      <c r="A47" t="s">
        <v>1261</v>
      </c>
      <c r="B47" t="s">
        <v>53</v>
      </c>
      <c r="C47">
        <f>C46</f>
        <v>79.63000000000001</v>
      </c>
      <c r="D47" t="s">
        <v>1262</v>
      </c>
      <c r="E47" s="1">
        <f>C35</f>
        <v>2.2</v>
      </c>
      <c r="F47" t="s">
        <v>91</v>
      </c>
      <c r="G47" s="1">
        <f>C43</f>
        <v>6.779999999999999</v>
      </c>
      <c r="H47" t="s">
        <v>1263</v>
      </c>
    </row>
    <row r="48">
      <c r="B48" t="s">
        <v>53</v>
      </c>
      <c r="C48">
        <f>ROUND(C46/(E47*G47),2)</f>
        <v>5.34</v>
      </c>
      <c r="D48" t="s">
        <v>630</v>
      </c>
    </row>
    <row r="49">
      <c r="A49" t="s">
        <v>632</v>
      </c>
    </row>
    <row r="51">
      <c r="A51" t="s">
        <v>1264</v>
      </c>
    </row>
    <row r="53">
      <c r="A53" t="s">
        <v>1265</v>
      </c>
      <c r="B53">
        <v>5.6</v>
      </c>
      <c r="C53" t="s">
        <v>1266</v>
      </c>
      <c r="D53">
        <v>5.6</v>
      </c>
      <c r="E53" t="s">
        <v>105</v>
      </c>
    </row>
    <row r="54">
      <c r="B54">
        <v>2</v>
      </c>
      <c r="D54">
        <v>5</v>
      </c>
    </row>
    <row r="55"/>
    <row r="56">
      <c r="A56" t="s">
        <v>1267</v>
      </c>
      <c r="B56" s="1">
        <f>ROUND(C48*C18/2*(C30-C18/5),2)</f>
        <v>132.77</v>
      </c>
      <c r="C56" t="s">
        <v>1268</v>
      </c>
    </row>
    <row r="57">
      <c r="A57" t="s">
        <v>1269</v>
      </c>
    </row>
    <row r="59">
      <c r="A59" t="s">
        <v>1270</v>
      </c>
    </row>
    <row r="60">
      <c r="A60" t="s">
        <v>1271</v>
      </c>
    </row>
    <row r="62">
      <c r="A62" t="s">
        <v>633</v>
      </c>
    </row>
    <row r="63">
      <c r="A63" t="s">
        <v>634</v>
      </c>
      <c r="B63" t="s">
        <v>635</v>
      </c>
    </row>
    <row r="64"/>
    <row r="65">
      <c r="A65" t="s">
        <v>1272</v>
      </c>
      <c r="B65" t="s">
        <v>637</v>
      </c>
    </row>
    <row r="66"/>
    <row r="67">
      <c r="A67" t="s">
        <v>1273</v>
      </c>
      <c r="B67" t="s">
        <v>639</v>
      </c>
    </row>
    <row r="68"/>
    <row r="69">
      <c r="A69" t="s">
        <v>640</v>
      </c>
      <c r="B69" t="s">
        <v>641</v>
      </c>
    </row>
    <row r="70"/>
    <row r="71">
      <c r="A71" t="s">
        <v>642</v>
      </c>
      <c r="B71" t="s">
        <v>643</v>
      </c>
      <c r="C71" t="s">
        <v>644</v>
      </c>
    </row>
    <row r="72">
      <c r="A72" t="s">
        <v>645</v>
      </c>
    </row>
    <row r="73">
      <c r="A73" t="s">
        <v>1274</v>
      </c>
      <c r="B73" t="s">
        <v>53</v>
      </c>
      <c r="C73">
        <v>1.8</v>
      </c>
      <c r="D73" t="s">
        <v>85</v>
      </c>
    </row>
    <row r="75">
      <c r="A75" t="s">
        <v>1275</v>
      </c>
    </row>
    <row r="76">
      <c r="A76" t="s">
        <v>648</v>
      </c>
    </row>
    <row r="78">
      <c r="A78" t="s">
        <v>649</v>
      </c>
      <c r="D78" t="s">
        <v>650</v>
      </c>
    </row>
    <row r="79">
      <c r="A79" t="s">
        <v>651</v>
      </c>
      <c r="D79" t="s">
        <v>652</v>
      </c>
    </row>
    <row r="80"/>
    <row r="81">
      <c r="A81" t="s">
        <v>1276</v>
      </c>
      <c r="C81" t="s">
        <v>148</v>
      </c>
      <c r="D81">
        <v>1.8</v>
      </c>
    </row>
    <row r="82"/>
    <row r="83">
      <c r="A83" t="s">
        <v>1277</v>
      </c>
      <c r="B83" t="s">
        <v>655</v>
      </c>
    </row>
    <row r="84">
      <c r="A84" t="s">
        <v>1278</v>
      </c>
    </row>
    <row r="86">
      <c r="A86" t="s">
        <v>1279</v>
      </c>
    </row>
    <row r="88">
      <c r="A88" t="s">
        <v>1280</v>
      </c>
    </row>
    <row r="89"/>
    <row r="90">
      <c r="A90" t="s">
        <v>1281</v>
      </c>
    </row>
    <row r="91"/>
    <row r="92">
      <c r="A92" t="s">
        <v>1282</v>
      </c>
      <c r="B92" t="s">
        <v>1283</v>
      </c>
      <c r="C92" t="s">
        <v>1284</v>
      </c>
    </row>
    <row r="93">
      <c r="J93">
        <f>(2.4*4)*(1-4/8)</f>
        <v>4.8</v>
      </c>
    </row>
    <row r="94">
      <c r="A94" t="s">
        <v>1285</v>
      </c>
      <c r="B94" t="s">
        <v>1286</v>
      </c>
      <c r="D94" t="s">
        <v>1287</v>
      </c>
    </row>
    <row r="95"/>
    <row r="96">
      <c r="A96" t="s">
        <v>1288</v>
      </c>
      <c r="B96" t="s">
        <v>1289</v>
      </c>
      <c r="E96">
        <v>0.45</v>
      </c>
      <c r="F96" t="s">
        <v>92</v>
      </c>
    </row>
    <row r="98">
      <c r="A98" t="s">
        <v>1290</v>
      </c>
      <c r="B98" t="s">
        <v>83</v>
      </c>
      <c r="C98">
        <f>2.4*G34*(1-G34/C30)+E96</f>
        <v>6.45</v>
      </c>
      <c r="D98" t="s">
        <v>92</v>
      </c>
      <c r="F98" t="s">
        <v>1291</v>
      </c>
    </row>
    <row r="100">
      <c r="A100" t="s">
        <v>1292</v>
      </c>
    </row>
    <row r="102">
      <c r="A102" t="s">
        <v>1293</v>
      </c>
    </row>
    <row r="104">
      <c r="A104" t="s">
        <v>1294</v>
      </c>
    </row>
    <row r="106">
      <c r="A106" t="s">
        <v>1295</v>
      </c>
    </row>
    <row r="107">
      <c r="A107" t="s">
        <v>1296</v>
      </c>
    </row>
    <row r="108">
      <c r="A108" t="s">
        <v>1297</v>
      </c>
    </row>
    <row r="109">
      <c r="A109" t="s">
        <v>1298</v>
      </c>
    </row>
    <row r="111">
      <c r="A111" t="s">
        <v>1299</v>
      </c>
      <c r="B111" t="s">
        <v>1300</v>
      </c>
      <c r="C111" t="s">
        <v>1301</v>
      </c>
      <c r="E111">
        <v>6.45</v>
      </c>
    </row>
    <row r="112">
      <c r="B112">
        <v>2</v>
      </c>
      <c r="E112">
        <v>2</v>
      </c>
    </row>
    <row r="114">
      <c r="A114" t="s">
        <v>1299</v>
      </c>
      <c r="B114" t="s">
        <v>1302</v>
      </c>
    </row>
    <row r="116">
      <c r="A116" t="s">
        <v>53</v>
      </c>
      <c r="B116">
        <f>2.2+3.225+1.655</f>
        <v>7.080000000000001</v>
      </c>
      <c r="C116" t="s">
        <v>85</v>
      </c>
    </row>
    <row r="117">
      <c r="A117" t="s">
        <v>1303</v>
      </c>
    </row>
    <row r="118">
      <c r="A118" t="s">
        <v>1304</v>
      </c>
      <c r="B118" t="s">
        <v>609</v>
      </c>
      <c r="C118">
        <v>1.25</v>
      </c>
    </row>
    <row r="119">
      <c r="A119" t="s">
        <v>1305</v>
      </c>
    </row>
    <row r="120">
      <c r="A120" t="s">
        <v>1306</v>
      </c>
    </row>
    <row r="121">
      <c r="A121" t="s">
        <v>1307</v>
      </c>
    </row>
    <row r="122"/>
    <row r="123">
      <c r="A123" t="s">
        <v>1308</v>
      </c>
      <c r="C123" t="s">
        <v>1309</v>
      </c>
    </row>
    <row r="124">
      <c r="C124" t="s">
        <v>1310</v>
      </c>
    </row>
    <row r="125">
      <c r="A125" t="s">
        <v>1267</v>
      </c>
      <c r="B125" t="s">
        <v>1311</v>
      </c>
    </row>
    <row r="126">
      <c r="B126" t="s">
        <v>1312</v>
      </c>
    </row>
    <row r="127"/>
    <row r="128">
      <c r="A128" t="s">
        <v>1267</v>
      </c>
      <c r="B128">
        <f>ROUND(50/(3*B116),2)</f>
        <v>2.35</v>
      </c>
      <c r="C128" t="s">
        <v>625</v>
      </c>
    </row>
    <row r="129">
      <c r="A129" t="s">
        <v>1292</v>
      </c>
    </row>
    <row r="130">
      <c r="A130" t="s">
        <v>1313</v>
      </c>
    </row>
    <row r="131">
      <c r="A131" t="s">
        <v>1314</v>
      </c>
      <c r="B131">
        <v>7.08</v>
      </c>
      <c r="C131" t="s">
        <v>1266</v>
      </c>
      <c r="D131">
        <v>7.08</v>
      </c>
      <c r="E131" t="s">
        <v>105</v>
      </c>
    </row>
    <row r="132">
      <c r="B132">
        <v>2</v>
      </c>
      <c r="D132">
        <v>5</v>
      </c>
    </row>
    <row r="133"/>
    <row r="134">
      <c r="A134" t="s">
        <v>1267</v>
      </c>
      <c r="B134" s="1">
        <f>B128*B116/2*(C30-B116/G34)</f>
        <v>71.410296</v>
      </c>
      <c r="C134" t="s">
        <v>1268</v>
      </c>
    </row>
    <row r="136">
      <c r="A136" t="s">
        <v>1315</v>
      </c>
      <c r="B136" t="s">
        <v>1316</v>
      </c>
    </row>
    <row r="137">
      <c r="A137">
        <v>2</v>
      </c>
      <c r="B137">
        <v>2</v>
      </c>
    </row>
    <row r="139">
      <c r="A139" t="s">
        <v>53</v>
      </c>
    </row>
    <row r="140">
      <c r="A140" t="s">
        <v>1317</v>
      </c>
    </row>
    <row r="141">
      <c r="A141" t="s">
        <v>1318</v>
      </c>
      <c r="C141" s="1">
        <f>B56</f>
        <v>132.77</v>
      </c>
      <c r="D141" t="s">
        <v>1268</v>
      </c>
    </row>
    <row r="142">
      <c r="A142" t="s">
        <v>1319</v>
      </c>
      <c r="C142" t="s">
        <v>1320</v>
      </c>
    </row>
    <row r="143">
      <c r="B143" t="s">
        <v>1282</v>
      </c>
      <c r="C143" s="1">
        <f>F12</f>
        <v>30.000000000000004</v>
      </c>
      <c r="D143" t="s">
        <v>148</v>
      </c>
      <c r="E143" s="1">
        <f>C141</f>
        <v>132.77</v>
      </c>
    </row>
    <row r="144">
      <c r="B144" t="s">
        <v>1282</v>
      </c>
      <c r="C144">
        <f>C143+E143</f>
        <v>162.77</v>
      </c>
      <c r="D144" t="s">
        <v>890</v>
      </c>
    </row>
  </sheetData>
  <mergeCells count="8">
    <mergeCell ref="C131:C132"/>
    <mergeCell ref="E131:E132"/>
    <mergeCell ref="D11:E11"/>
    <mergeCell ref="B12:E12"/>
    <mergeCell ref="C53:C54"/>
    <mergeCell ref="E53:E54"/>
    <mergeCell ref="B125:C125"/>
    <mergeCell ref="B126:C126"/>
  </mergeCells>
  <pageMargins left="0.75" right="0.75" top="1" bottom="1" header="0.5" footer="0.5"/>
  <ignoredErrors>
    <ignoredError numberStoredAsText="1" sqref="A1:J144"/>
  </ignoredErrors>
</worksheet>
</file>

<file path=xl/worksheets/sheet42.xml><?xml version="1.0" encoding="utf-8"?>
<worksheet xmlns="http://schemas.openxmlformats.org/spreadsheetml/2006/main" xmlns:r="http://schemas.openxmlformats.org/officeDocument/2006/relationships">
  <dimension ref="A1:B11"/>
  <sheetViews>
    <sheetView workbookViewId="0" rightToLeft="0"/>
  </sheetViews>
  <sheetData>
    <row r="1" ht="30" customHeight="1">
      <c r="A1" t="s">
        <v>1377</v>
      </c>
    </row>
    <row r="2" ht="30" customHeight="1"/>
    <row r="3" ht="30" customHeight="1">
      <c r="A3" t="s">
        <v>1429</v>
      </c>
    </row>
    <row r="5">
      <c r="A5" t="s">
        <v>1430</v>
      </c>
    </row>
    <row r="6">
      <c r="A6" t="s">
        <v>1431</v>
      </c>
    </row>
    <row r="8">
      <c r="A8" t="s">
        <v>1388</v>
      </c>
    </row>
    <row r="9">
      <c r="A9" t="s">
        <v>1432</v>
      </c>
      <c r="B9">
        <v>1023.7</v>
      </c>
    </row>
    <row r="10">
      <c r="A10" t="s">
        <v>1433</v>
      </c>
      <c r="B10">
        <v>48.9</v>
      </c>
    </row>
    <row r="11">
      <c r="A11" t="s">
        <v>1434</v>
      </c>
      <c r="B11">
        <v>1380</v>
      </c>
    </row>
  </sheetData>
  <pageMargins left="0.7086614173228347" right="0.7086614173228347" top="0.7480314960629921" bottom="0.7480314960629921" header="0.31496062992125984" footer="0.31496062992125984"/>
  <ignoredErrors>
    <ignoredError numberStoredAsText="1" sqref="A1:B11"/>
  </ignoredErrors>
</worksheet>
</file>

<file path=xl/worksheets/sheet43.xml><?xml version="1.0" encoding="utf-8"?>
<worksheet xmlns="http://schemas.openxmlformats.org/spreadsheetml/2006/main" xmlns:r="http://schemas.openxmlformats.org/officeDocument/2006/relationships">
  <dimension ref="A1:K44"/>
  <sheetViews>
    <sheetView workbookViewId="0" rightToLeft="0"/>
  </sheetViews>
  <cols>
    <col min="1" max="1" customWidth="1" width="3.7109375"/>
    <col min="2" max="2" customWidth="1" width="22.7109375"/>
    <col min="3" max="3" customWidth="1" width="2.28515625"/>
    <col min="4" max="4" customWidth="1" width="57.7109375"/>
    <col min="5" max="5" customWidth="1" width="20.7109375"/>
    <col min="6" max="6" customWidth="1" width="9.140625"/>
    <col min="7" max="7" customWidth="1" width="9.140625"/>
    <col min="8" max="8" customWidth="1" width="9.140625"/>
    <col min="9" max="9" customWidth="1" width="9.140625"/>
    <col min="10" max="10" customWidth="1" width="9.140625"/>
    <col min="11" max="11" customWidth="1" width="9.140625"/>
    <col min="12" max="12" customWidth="1" width="9.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23.25" customHeight="1">
      <c r="A1" t="s">
        <v>1435</v>
      </c>
    </row>
    <row r="2" ht="12.75" customHeight="1"/>
    <row r="3" ht="25.5" customHeight="1">
      <c r="A3">
        <v>1</v>
      </c>
      <c r="B3" t="s">
        <v>1436</v>
      </c>
      <c r="C3" t="s">
        <v>1437</v>
      </c>
      <c r="D3" t="s">
        <v>0</v>
      </c>
      <c r="E3">
        <v>0</v>
      </c>
      <c r="F3">
        <v>0</v>
      </c>
      <c r="G3">
        <v>0</v>
      </c>
      <c r="H3">
        <v>0</v>
      </c>
      <c r="I3">
        <v>0</v>
      </c>
      <c r="J3">
        <v>0</v>
      </c>
      <c r="K3">
        <v>0</v>
      </c>
    </row>
    <row r="4" ht="12.75" customHeight="1"/>
    <row r="5" ht="9.95" customHeight="1"/>
    <row r="6" ht="59.25" customHeight="1">
      <c r="A6">
        <v>2</v>
      </c>
      <c r="B6" t="s">
        <v>1438</v>
      </c>
      <c r="C6" t="s">
        <v>1437</v>
      </c>
    </row>
    <row r="7" ht="9.95" customHeight="1"/>
    <row r="8" ht="12.75" customHeight="1">
      <c r="A8">
        <v>3</v>
      </c>
      <c r="B8" t="s">
        <v>1439</v>
      </c>
      <c r="C8" t="s">
        <v>1437</v>
      </c>
    </row>
    <row r="9" ht="12.75" customHeight="1"/>
    <row r="10" ht="9.95" customHeight="1"/>
    <row r="11" ht="12.75" customHeight="1">
      <c r="A11">
        <v>4</v>
      </c>
      <c r="B11" t="s">
        <v>1440</v>
      </c>
      <c r="C11" t="s">
        <v>1437</v>
      </c>
      <c r="D11" t="s">
        <v>1441</v>
      </c>
    </row>
    <row r="12" ht="102" customHeight="1">
      <c r="D12" t="s">
        <v>1442</v>
      </c>
    </row>
    <row r="13" ht="12.75" customHeight="1"/>
    <row r="14" ht="25.5" customHeight="1">
      <c r="D14" t="s">
        <v>1443</v>
      </c>
    </row>
    <row r="15" ht="12.75" customHeight="1"/>
    <row r="16" ht="38.25" customHeight="1">
      <c r="D16" t="s">
        <v>1444</v>
      </c>
    </row>
    <row r="17" ht="12.75" customHeight="1"/>
    <row r="18" ht="51" customHeight="1">
      <c r="D18" t="s">
        <v>1445</v>
      </c>
    </row>
    <row r="19" ht="12.75" customHeight="1"/>
    <row r="20" ht="12.75" customHeight="1">
      <c r="D20" t="s">
        <v>1446</v>
      </c>
    </row>
    <row r="21" ht="12.75" customHeight="1"/>
    <row r="22" ht="25.5" customHeight="1">
      <c r="D22" t="s">
        <v>1447</v>
      </c>
    </row>
    <row r="23" ht="12.75" customHeight="1"/>
    <row r="24" ht="51" customHeight="1">
      <c r="D24" t="s">
        <v>1448</v>
      </c>
    </row>
    <row r="25" ht="12.75" customHeight="1"/>
    <row r="26" ht="38.25" customHeight="1">
      <c r="D26" t="s">
        <v>1449</v>
      </c>
    </row>
    <row r="27" ht="12.75" customHeight="1"/>
    <row r="28" ht="38.25" customHeight="1">
      <c r="D28" t="s">
        <v>1450</v>
      </c>
    </row>
    <row r="29" ht="12.75" customHeight="1"/>
    <row r="30" ht="51" customHeight="1">
      <c r="D30" t="s">
        <v>1451</v>
      </c>
    </row>
    <row r="31" ht="12.75" customHeight="1"/>
    <row r="32" ht="38.25" customHeight="1">
      <c r="D32" t="s">
        <v>1452</v>
      </c>
    </row>
    <row r="33" ht="12.75" customHeight="1"/>
    <row r="34" ht="25.5" customHeight="1">
      <c r="D34" t="s">
        <v>1453</v>
      </c>
    </row>
    <row r="35" ht="12.75" customHeight="1"/>
    <row r="36" ht="12.75" customHeight="1"/>
    <row r="37" ht="12.75" customHeight="1"/>
    <row r="38" ht="12.75" customHeight="1">
      <c r="A38">
        <v>5</v>
      </c>
      <c r="B38" t="s">
        <v>1454</v>
      </c>
      <c r="C38" t="s">
        <v>1437</v>
      </c>
      <c r="D38" s="1" t="s">
        <v>1455</v>
      </c>
    </row>
    <row r="39" ht="9.95" customHeight="1"/>
    <row r="40" ht="9.95" customHeight="1"/>
    <row r="41" ht="12.75" customHeight="1">
      <c r="A41">
        <v>6</v>
      </c>
      <c r="B41" t="s">
        <v>1456</v>
      </c>
      <c r="C41" t="s">
        <v>1437</v>
      </c>
      <c r="D41" t="s">
        <v>1457</v>
      </c>
    </row>
    <row r="42" ht="9.95" customHeight="1"/>
    <row r="43" ht="12.75" customHeight="1">
      <c r="A43">
        <v>7</v>
      </c>
      <c r="B43" t="s">
        <v>1458</v>
      </c>
      <c r="C43" t="s">
        <v>1437</v>
      </c>
    </row>
    <row r="44" ht="12.75" customHeight="1"/>
  </sheetData>
  <mergeCells count="1">
    <mergeCell ref="A1:D1"/>
  </mergeCells>
  <pageMargins left="1.2" right="0.2" top="0.9" bottom="0.9" header="0.5" footer="0.2"/>
  <ignoredErrors>
    <ignoredError numberStoredAsText="1" sqref="A1:K44"/>
  </ignoredErrors>
</worksheet>
</file>

<file path=xl/worksheets/sheet44.xml><?xml version="1.0" encoding="utf-8"?>
<worksheet xmlns="http://schemas.openxmlformats.org/spreadsheetml/2006/main" xmlns:r="http://schemas.openxmlformats.org/officeDocument/2006/relationships">
  <dimension ref="A1:G28"/>
  <sheetViews>
    <sheetView workbookViewId="0" rightToLeft="0"/>
  </sheetViews>
  <cols>
    <col min="1" max="1" customWidth="1" width="9.7109375"/>
    <col min="2" max="2" customWidth="1" width="7.7109375"/>
    <col min="3" max="3" customWidth="1" width="12.140625"/>
    <col min="4" max="4" customWidth="1" width="13.7109375"/>
    <col min="5" max="5" customWidth="1" width="13.7109375"/>
    <col min="6" max="6" customWidth="1" width="15.140625"/>
    <col min="7" max="7" customWidth="1" width="19.140625"/>
    <col min="13" max="13" customWidth="1" width="10.7109375"/>
  </cols>
  <sheetData>
    <row r="1" ht="18.75" customHeight="1">
      <c r="A1" t="s">
        <v>1459</v>
      </c>
    </row>
    <row r="3" ht="20.25" customHeight="1">
      <c r="A3" t="s">
        <v>1460</v>
      </c>
    </row>
    <row r="4" ht="18.75" customHeight="1"/>
    <row r="5" ht="15.75" customHeight="1">
      <c r="A5" t="s">
        <v>1461</v>
      </c>
    </row>
    <row r="6" ht="38.25" customHeight="1">
      <c r="B6" t="s">
        <v>0</v>
      </c>
    </row>
    <row r="7" ht="15" customHeight="1">
      <c r="A7" t="s">
        <v>1462</v>
      </c>
      <c r="B7" t="s">
        <v>1463</v>
      </c>
      <c r="G7" t="s">
        <v>1464</v>
      </c>
    </row>
    <row r="8" ht="9.95" customHeight="1"/>
    <row r="9" ht="21.95" customHeight="1">
      <c r="A9">
        <v>1</v>
      </c>
      <c r="B9" t="s">
        <v>1465</v>
      </c>
      <c r="G9" s="1">
        <v>100003890</v>
      </c>
    </row>
    <row r="10" ht="9.95" customHeight="1"/>
    <row r="11" ht="18.75" customHeight="1">
      <c r="E11" t="s">
        <v>1466</v>
      </c>
      <c r="G11" s="1">
        <v>100003890</v>
      </c>
    </row>
    <row r="12" ht="8.1" customHeight="1"/>
    <row r="13" ht="15" customHeight="1">
      <c r="B13" t="s">
        <v>1467</v>
      </c>
      <c r="G13" s="1">
        <v>1000039</v>
      </c>
    </row>
    <row r="14" ht="9.95" customHeight="1"/>
    <row r="15" hidden="1" ht="15" customHeight="1">
      <c r="B15" t="s">
        <v>1468</v>
      </c>
      <c r="G15" s="1">
        <v>0</v>
      </c>
    </row>
    <row r="16" hidden="1" ht="9.95" customHeight="1"/>
    <row r="17" ht="15" customHeight="1">
      <c r="B17" t="s">
        <v>1469</v>
      </c>
      <c r="G17" s="1">
        <v>1500058</v>
      </c>
    </row>
    <row r="18" ht="9.95" customHeight="1"/>
    <row r="19" ht="15.75" customHeight="1">
      <c r="F19" s="1" t="s">
        <v>1470</v>
      </c>
      <c r="G19" s="1">
        <v>102503987</v>
      </c>
    </row>
    <row r="20" ht="8.1" customHeight="1"/>
    <row r="21" ht="15" customHeight="1">
      <c r="B21" t="s">
        <v>1471</v>
      </c>
      <c r="G21" s="1">
        <v>13325518</v>
      </c>
    </row>
    <row r="22" ht="9.95" customHeight="1"/>
    <row r="23" ht="15.75" customHeight="1">
      <c r="F23" s="1" t="s">
        <v>1470</v>
      </c>
      <c r="G23" s="1">
        <v>115829505</v>
      </c>
    </row>
    <row r="24" ht="15.75" customHeight="1"/>
    <row r="25" ht="15.75" customHeight="1">
      <c r="F25" s="1" t="s">
        <v>1472</v>
      </c>
      <c r="G25" s="1">
        <v>1158.3</v>
      </c>
    </row>
    <row r="26" ht="15.75" customHeight="1">
      <c r="G26" s="1" t="s">
        <v>1473</v>
      </c>
    </row>
    <row r="27"/>
    <row r="28"/>
  </sheetData>
  <mergeCells count="5">
    <mergeCell ref="A1:G1"/>
    <mergeCell ref="A3:G3"/>
    <mergeCell ref="A5:C5"/>
    <mergeCell ref="B6:G6"/>
    <mergeCell ref="B7:D7"/>
  </mergeCells>
  <pageMargins left="1" right="0.2" top="1" bottom="0.3" header="0.5" footer="0.3"/>
  <ignoredErrors>
    <ignoredError numberStoredAsText="1" sqref="A1:G28"/>
  </ignoredErrors>
</worksheet>
</file>

<file path=xl/worksheets/sheet45.xml><?xml version="1.0" encoding="utf-8"?>
<worksheet xmlns="http://schemas.openxmlformats.org/spreadsheetml/2006/main" xmlns:r="http://schemas.openxmlformats.org/officeDocument/2006/relationships">
  <dimension ref="A1:J113"/>
  <sheetViews>
    <sheetView workbookViewId="0" rightToLeft="0"/>
  </sheetViews>
  <cols>
    <col min="1" max="1" customWidth="1" width="9.140625"/>
    <col min="2" max="2" customWidth="1" width="64.85546875"/>
    <col min="3" max="3" customWidth="1" width="9.85546875"/>
    <col min="4" max="4" customWidth="1" width="11.5703125"/>
    <col min="5" max="5" customWidth="1" width="12.28515625"/>
    <col min="6" max="6" customWidth="1" width="10.42578125"/>
    <col min="7" max="7" customWidth="1" width="15.85546875"/>
    <col min="8" max="8" customWidth="1" width="10.5703125"/>
    <col min="9" max="9" customWidth="1" width="10.5703125" hidden="true"/>
    <col min="10" max="10" customWidth="1" width="0" hidden="true"/>
    <col min="11" max="11" customWidth="1" width="9.140625"/>
    <col min="12" max="12" customWidth="1" width="9.140625"/>
    <col min="13" max="13" customWidth="1" width="10.7109375"/>
    <col min="14" max="14" customWidth="1" width="9.7109375"/>
    <col min="15" max="15" customWidth="1" width="14.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ht="15.75" customHeight="1">
      <c r="A1" t="s">
        <v>1474</v>
      </c>
    </row>
    <row r="2" ht="16.5" customHeight="1">
      <c r="A2" t="s">
        <v>1461</v>
      </c>
    </row>
    <row r="3" ht="38.25" customHeight="1">
      <c r="B3" t="s">
        <v>0</v>
      </c>
    </row>
    <row r="4" ht="15.75" customHeight="1">
      <c r="A4" t="s">
        <v>1475</v>
      </c>
      <c r="B4" t="s">
        <v>4</v>
      </c>
      <c r="C4" t="s">
        <v>1476</v>
      </c>
      <c r="E4" t="s">
        <v>1477</v>
      </c>
      <c r="F4" t="s">
        <v>1478</v>
      </c>
      <c r="G4" t="s">
        <v>1464</v>
      </c>
    </row>
    <row r="5" ht="15.75" customHeight="1"/>
    <row r="6" ht="90" customHeight="1">
      <c r="A6" t="s">
        <v>1479</v>
      </c>
      <c r="B6" t="s">
        <v>1480</v>
      </c>
      <c r="J6" s="1">
        <v>116</v>
      </c>
    </row>
    <row r="7" ht="15.75" customHeight="1">
      <c r="B7" t="s">
        <v>1481</v>
      </c>
      <c r="C7" s="1">
        <v>787.9176410366445</v>
      </c>
      <c r="D7" t="s">
        <v>1482</v>
      </c>
    </row>
    <row r="8" ht="15.75" customHeight="1">
      <c r="B8" t="s">
        <v>1483</v>
      </c>
      <c r="C8" s="1">
        <v>2100</v>
      </c>
      <c r="D8" t="s">
        <v>1482</v>
      </c>
    </row>
    <row r="9" ht="15.75" customHeight="1">
      <c r="C9" s="1">
        <v>2887.9176410366445</v>
      </c>
      <c r="D9" t="s">
        <v>1484</v>
      </c>
      <c r="E9" s="1">
        <v>68</v>
      </c>
      <c r="F9" t="s">
        <v>1484</v>
      </c>
      <c r="G9" s="1">
        <v>196378.3995904918</v>
      </c>
    </row>
    <row r="10" ht="15.75" customHeight="1"/>
    <row r="11" ht="15.75" customHeight="1">
      <c r="A11" t="s">
        <v>1485</v>
      </c>
      <c r="B11" t="s">
        <v>1486</v>
      </c>
      <c r="J11" s="1">
        <v>116</v>
      </c>
    </row>
    <row r="12" ht="15.75" customHeight="1">
      <c r="B12" t="s">
        <v>1481</v>
      </c>
      <c r="C12" s="1">
        <v>984.8970512958056</v>
      </c>
      <c r="D12" t="s">
        <v>1482</v>
      </c>
      <c r="E12" s="1">
        <v>80</v>
      </c>
      <c r="F12" t="s">
        <v>1484</v>
      </c>
      <c r="G12" s="1">
        <v>78791.76410366445</v>
      </c>
    </row>
    <row r="13" ht="15.75" customHeight="1"/>
    <row r="14" ht="30" customHeight="1">
      <c r="A14" t="s">
        <v>1487</v>
      </c>
      <c r="B14" t="s">
        <v>1488</v>
      </c>
      <c r="J14" s="1">
        <v>146</v>
      </c>
    </row>
    <row r="15" ht="15.75" customHeight="1">
      <c r="B15" t="s">
        <v>1481</v>
      </c>
      <c r="C15" s="1">
        <v>2072.8146923324502</v>
      </c>
      <c r="D15" t="s">
        <v>1484</v>
      </c>
    </row>
    <row r="16" ht="15.75" customHeight="1">
      <c r="B16" t="s">
        <v>1483</v>
      </c>
      <c r="C16" s="1">
        <v>1610</v>
      </c>
      <c r="D16" t="s">
        <v>1484</v>
      </c>
    </row>
    <row r="17" ht="15.75" customHeight="1">
      <c r="C17" s="1">
        <v>3682.8146923324502</v>
      </c>
      <c r="D17" t="s">
        <v>1484</v>
      </c>
      <c r="E17" s="1">
        <v>103</v>
      </c>
      <c r="F17" t="s">
        <v>1484</v>
      </c>
      <c r="G17" s="1">
        <v>379329.91331024235</v>
      </c>
    </row>
    <row r="18" ht="15.75" customHeight="1"/>
    <row r="19" ht="15.75" customHeight="1">
      <c r="A19" t="s">
        <v>1489</v>
      </c>
      <c r="B19" t="s">
        <v>1490</v>
      </c>
      <c r="J19" s="1">
        <v>273</v>
      </c>
    </row>
    <row r="20" ht="15.75" customHeight="1">
      <c r="B20" t="s">
        <v>1481</v>
      </c>
      <c r="C20" s="1">
        <v>2072.8146923324502</v>
      </c>
      <c r="D20" t="s">
        <v>1484</v>
      </c>
      <c r="E20" s="1">
        <v>364</v>
      </c>
      <c r="F20" t="s">
        <v>1484</v>
      </c>
      <c r="G20" s="1">
        <v>754504.5480090119</v>
      </c>
    </row>
    <row r="21" ht="15.75" customHeight="1"/>
    <row r="22" ht="30" customHeight="1">
      <c r="A22">
        <v>5</v>
      </c>
      <c r="B22" t="s">
        <v>1491</v>
      </c>
      <c r="J22" s="1">
        <v>3005</v>
      </c>
    </row>
    <row r="23" ht="15.75" customHeight="1">
      <c r="B23" t="s">
        <v>1492</v>
      </c>
    </row>
    <row r="24" ht="15.75" customHeight="1">
      <c r="B24" t="s">
        <v>1481</v>
      </c>
      <c r="C24" s="1">
        <v>1185.3472797620166</v>
      </c>
      <c r="D24" t="s">
        <v>1484</v>
      </c>
      <c r="E24" s="1">
        <v>3863</v>
      </c>
      <c r="F24" t="s">
        <v>1484</v>
      </c>
      <c r="G24" s="1">
        <v>4578996.54172067</v>
      </c>
    </row>
    <row r="25" ht="15.75" customHeight="1"/>
    <row r="26" ht="15.75" customHeight="1">
      <c r="A26">
        <v>6</v>
      </c>
      <c r="B26" t="s">
        <v>1493</v>
      </c>
      <c r="J26" s="1">
        <v>3455</v>
      </c>
    </row>
    <row r="27" ht="15.75" customHeight="1">
      <c r="B27" t="s">
        <v>1494</v>
      </c>
    </row>
    <row r="28" ht="15.75" customHeight="1">
      <c r="B28" t="s">
        <v>1481</v>
      </c>
      <c r="C28" s="1">
        <v>282.50358335460896</v>
      </c>
      <c r="D28" t="s">
        <v>1484</v>
      </c>
    </row>
    <row r="29" ht="15.75" customHeight="1">
      <c r="B29" t="s">
        <v>1483</v>
      </c>
      <c r="C29" s="1">
        <v>394.5</v>
      </c>
      <c r="D29" t="s">
        <v>1484</v>
      </c>
    </row>
    <row r="30" ht="15.75" customHeight="1">
      <c r="C30" s="1">
        <v>677.003583354609</v>
      </c>
      <c r="D30" t="s">
        <v>1484</v>
      </c>
      <c r="E30" s="1">
        <v>4356</v>
      </c>
      <c r="F30" t="s">
        <v>1484</v>
      </c>
      <c r="G30" s="1">
        <v>2949027.6090926765</v>
      </c>
    </row>
    <row r="31" ht="15.75" customHeight="1"/>
    <row r="32" ht="15.75" customHeight="1">
      <c r="A32">
        <v>7</v>
      </c>
      <c r="B32" t="s">
        <v>1495</v>
      </c>
      <c r="J32" s="1">
        <v>3995</v>
      </c>
    </row>
    <row r="33" ht="15.75" customHeight="1">
      <c r="B33" t="s">
        <v>1494</v>
      </c>
    </row>
    <row r="34" ht="15.75" customHeight="1">
      <c r="B34" t="s">
        <v>1481</v>
      </c>
      <c r="C34" s="1">
        <v>1191.9603888751612</v>
      </c>
      <c r="D34" t="s">
        <v>1484</v>
      </c>
    </row>
    <row r="35" ht="15.75" customHeight="1">
      <c r="B35" t="s">
        <v>1483</v>
      </c>
      <c r="C35" s="1">
        <v>372</v>
      </c>
      <c r="D35" t="s">
        <v>1484</v>
      </c>
    </row>
    <row r="36" ht="15.75" customHeight="1">
      <c r="C36" s="1">
        <v>1563.9603888751612</v>
      </c>
      <c r="D36" t="s">
        <v>1484</v>
      </c>
      <c r="E36" s="1">
        <v>4708</v>
      </c>
      <c r="F36" t="s">
        <v>1484</v>
      </c>
      <c r="G36" s="1">
        <v>7363125.510824259</v>
      </c>
    </row>
    <row r="37" ht="15.75" customHeight="1"/>
    <row r="38" ht="60" customHeight="1">
      <c r="A38">
        <v>8</v>
      </c>
      <c r="B38" t="s">
        <v>1496</v>
      </c>
      <c r="J38" s="1">
        <v>64397</v>
      </c>
    </row>
    <row r="39" ht="15.75" customHeight="1">
      <c r="B39" t="s">
        <v>1481</v>
      </c>
      <c r="C39" s="1">
        <v>140.35333579005024</v>
      </c>
      <c r="D39" t="s">
        <v>888</v>
      </c>
    </row>
    <row r="40" ht="15.75" customHeight="1">
      <c r="B40" t="s">
        <v>1483</v>
      </c>
      <c r="C40" s="1">
        <v>43.803</v>
      </c>
      <c r="D40" t="s">
        <v>888</v>
      </c>
    </row>
    <row r="41" ht="15.75" customHeight="1">
      <c r="C41" s="1">
        <v>184.15633579005024</v>
      </c>
      <c r="D41" t="s">
        <v>888</v>
      </c>
      <c r="E41" s="1">
        <v>85000</v>
      </c>
      <c r="F41" t="s">
        <v>888</v>
      </c>
      <c r="G41" s="1">
        <v>15653288.54215427</v>
      </c>
    </row>
    <row r="42" ht="15.75" customHeight="1"/>
    <row r="43" ht="105" customHeight="1">
      <c r="A43">
        <v>9</v>
      </c>
      <c r="B43" t="s">
        <v>1497</v>
      </c>
      <c r="J43" s="1">
        <v>4380</v>
      </c>
    </row>
    <row r="44" ht="15.75" customHeight="1">
      <c r="B44" t="s">
        <v>1498</v>
      </c>
      <c r="C44" s="1">
        <v>1448.8565456000026</v>
      </c>
      <c r="D44" t="s">
        <v>1484</v>
      </c>
    </row>
    <row r="45" ht="15.75" customHeight="1">
      <c r="B45" t="s">
        <v>1483</v>
      </c>
      <c r="C45" s="1">
        <v>810</v>
      </c>
      <c r="D45" t="s">
        <v>1484</v>
      </c>
    </row>
    <row r="46" ht="15.75" customHeight="1">
      <c r="C46" s="1">
        <v>2258.8565456000024</v>
      </c>
      <c r="D46" t="s">
        <v>1484</v>
      </c>
      <c r="E46" s="1">
        <v>4596</v>
      </c>
      <c r="F46" t="s">
        <v>1484</v>
      </c>
      <c r="G46" s="1">
        <v>10381704.68357761</v>
      </c>
    </row>
    <row r="47" ht="15.75" customHeight="1"/>
    <row r="48" ht="30" customHeight="1">
      <c r="A48">
        <v>10</v>
      </c>
      <c r="B48" t="s">
        <v>1499</v>
      </c>
      <c r="J48" s="1">
        <v>64478</v>
      </c>
    </row>
    <row r="49" ht="15.75" customHeight="1">
      <c r="B49" t="s">
        <v>1498</v>
      </c>
      <c r="C49" s="1">
        <v>164.91609630292032</v>
      </c>
      <c r="D49" t="s">
        <v>888</v>
      </c>
    </row>
    <row r="50" ht="15.75" customHeight="1">
      <c r="B50" t="s">
        <v>1483</v>
      </c>
      <c r="C50" s="1">
        <v>95.3775</v>
      </c>
      <c r="D50" t="s">
        <v>888</v>
      </c>
    </row>
    <row r="51" ht="15.75" customHeight="1">
      <c r="C51" s="1">
        <v>260.2935963029203</v>
      </c>
      <c r="D51" t="s">
        <v>888</v>
      </c>
      <c r="E51" s="1">
        <v>85000</v>
      </c>
      <c r="F51" t="s">
        <v>888</v>
      </c>
      <c r="G51" s="1">
        <v>22124955.685748227</v>
      </c>
    </row>
    <row r="52" ht="15.75" customHeight="1"/>
    <row r="53" ht="75" customHeight="1">
      <c r="A53">
        <v>11</v>
      </c>
      <c r="B53" t="s">
        <v>1500</v>
      </c>
      <c r="J53" s="1">
        <v>90</v>
      </c>
    </row>
    <row r="54" ht="15.75" customHeight="1">
      <c r="B54" t="s">
        <v>1498</v>
      </c>
      <c r="C54" s="1">
        <v>200.39999999999998</v>
      </c>
      <c r="D54" t="s">
        <v>1501</v>
      </c>
    </row>
    <row r="55" ht="15.75" customHeight="1">
      <c r="B55" t="s">
        <v>1483</v>
      </c>
      <c r="C55" s="1">
        <v>390</v>
      </c>
      <c r="D55" t="s">
        <v>1501</v>
      </c>
    </row>
    <row r="56" ht="15.75" customHeight="1">
      <c r="C56" s="1">
        <v>590.4</v>
      </c>
      <c r="D56" t="s">
        <v>1501</v>
      </c>
      <c r="E56" s="1">
        <v>129</v>
      </c>
      <c r="F56" t="s">
        <v>1501</v>
      </c>
      <c r="G56" s="1">
        <v>76161.59999999999</v>
      </c>
    </row>
    <row r="57" ht="15.75" customHeight="1"/>
    <row r="58" ht="60" customHeight="1">
      <c r="A58">
        <v>12</v>
      </c>
      <c r="B58" t="s">
        <v>1502</v>
      </c>
      <c r="J58" s="1">
        <v>320</v>
      </c>
    </row>
    <row r="59" ht="15.75" customHeight="1">
      <c r="B59" t="s">
        <v>1498</v>
      </c>
      <c r="C59" s="1">
        <v>487.2</v>
      </c>
      <c r="D59" t="s">
        <v>1484</v>
      </c>
    </row>
    <row r="60" ht="15.75" customHeight="1">
      <c r="B60" t="s">
        <v>1483</v>
      </c>
      <c r="C60" s="1">
        <v>975</v>
      </c>
      <c r="D60" t="s">
        <v>1484</v>
      </c>
    </row>
    <row r="61" ht="15.75" customHeight="1">
      <c r="C61" s="1">
        <v>1462.2</v>
      </c>
      <c r="D61" t="s">
        <v>1484</v>
      </c>
      <c r="E61" s="1">
        <v>548</v>
      </c>
      <c r="F61" t="s">
        <v>1484</v>
      </c>
      <c r="G61" s="1">
        <v>801285.6</v>
      </c>
    </row>
    <row r="62" ht="15.75" customHeight="1"/>
    <row r="63" ht="120" customHeight="1">
      <c r="A63">
        <v>13</v>
      </c>
      <c r="B63" t="s">
        <v>1503</v>
      </c>
      <c r="J63" s="1">
        <v>516</v>
      </c>
    </row>
    <row r="64" ht="15.75" customHeight="1">
      <c r="B64" t="s">
        <v>1498</v>
      </c>
      <c r="C64" s="1">
        <v>83.52</v>
      </c>
      <c r="D64" t="s">
        <v>1484</v>
      </c>
    </row>
    <row r="65" ht="15.75" customHeight="1">
      <c r="B65" t="s">
        <v>1483</v>
      </c>
      <c r="C65" s="1">
        <v>487.5</v>
      </c>
      <c r="D65" t="s">
        <v>1484</v>
      </c>
    </row>
    <row r="66" ht="15.75" customHeight="1">
      <c r="C66" s="1">
        <v>571.02</v>
      </c>
      <c r="D66" t="s">
        <v>1484</v>
      </c>
      <c r="E66" s="1">
        <v>793</v>
      </c>
      <c r="F66" t="s">
        <v>1484</v>
      </c>
      <c r="G66" s="1">
        <v>452818.86</v>
      </c>
    </row>
    <row r="67" ht="15.75" customHeight="1"/>
    <row r="68" ht="75" customHeight="1">
      <c r="A68">
        <v>14</v>
      </c>
      <c r="B68" t="s">
        <v>1504</v>
      </c>
      <c r="J68" s="1">
        <v>5190</v>
      </c>
    </row>
    <row r="69" ht="15.75" customHeight="1">
      <c r="B69" t="s">
        <v>1505</v>
      </c>
      <c r="C69" s="1">
        <v>1700.1633739839742</v>
      </c>
      <c r="D69" t="s">
        <v>1484</v>
      </c>
      <c r="E69" s="1">
        <v>5625</v>
      </c>
      <c r="F69" t="s">
        <v>1484</v>
      </c>
      <c r="G69" s="1">
        <v>9563418.978659855</v>
      </c>
    </row>
    <row r="70" ht="15.75" customHeight="1"/>
    <row r="71" ht="45" customHeight="1">
      <c r="A71">
        <v>15</v>
      </c>
      <c r="B71" t="s">
        <v>1506</v>
      </c>
      <c r="J71" s="1">
        <v>65429</v>
      </c>
    </row>
    <row r="72" ht="15.75" customHeight="1">
      <c r="B72" t="s">
        <v>1505</v>
      </c>
      <c r="C72" s="1">
        <v>203.72423728661298</v>
      </c>
      <c r="D72" t="s">
        <v>888</v>
      </c>
      <c r="E72" s="1">
        <v>85000</v>
      </c>
      <c r="F72" t="s">
        <v>888</v>
      </c>
      <c r="G72" s="1">
        <v>17316560.1693621</v>
      </c>
    </row>
    <row r="73" ht="15.75" customHeight="1"/>
    <row r="74" ht="45" customHeight="1">
      <c r="A74">
        <v>16</v>
      </c>
      <c r="B74" t="s">
        <v>1507</v>
      </c>
      <c r="J74" s="1">
        <v>8395</v>
      </c>
    </row>
    <row r="75" ht="15.75" customHeight="1">
      <c r="B75" t="s">
        <v>1505</v>
      </c>
      <c r="C75" s="1">
        <v>139.65118005740948</v>
      </c>
      <c r="D75" t="s">
        <v>1484</v>
      </c>
      <c r="E75" s="1">
        <v>8743</v>
      </c>
      <c r="F75" t="s">
        <v>1484</v>
      </c>
      <c r="G75" s="1">
        <v>1220970.267241931</v>
      </c>
    </row>
    <row r="76" ht="15.75" customHeight="1"/>
    <row r="77" ht="30" customHeight="1">
      <c r="A77">
        <v>17</v>
      </c>
      <c r="B77" t="s">
        <v>1508</v>
      </c>
      <c r="J77" s="1">
        <v>3010</v>
      </c>
    </row>
    <row r="78" ht="15.75" customHeight="1">
      <c r="B78" t="s">
        <v>1505</v>
      </c>
      <c r="C78" s="1">
        <v>7.56</v>
      </c>
      <c r="D78" t="s">
        <v>1484</v>
      </c>
    </row>
    <row r="79" ht="15.75" customHeight="1">
      <c r="B79" t="s">
        <v>1483</v>
      </c>
      <c r="C79" s="1">
        <v>123.75</v>
      </c>
      <c r="D79" t="s">
        <v>1484</v>
      </c>
    </row>
    <row r="80" ht="15.75" customHeight="1">
      <c r="C80" s="1">
        <v>131.31</v>
      </c>
      <c r="D80" t="s">
        <v>1484</v>
      </c>
      <c r="E80" s="1">
        <v>2949</v>
      </c>
      <c r="F80" t="s">
        <v>1484</v>
      </c>
      <c r="G80" s="1">
        <v>387233.19</v>
      </c>
    </row>
    <row r="81" ht="15.75" customHeight="1"/>
    <row r="82" ht="45" customHeight="1">
      <c r="A82">
        <v>18</v>
      </c>
      <c r="B82" t="s">
        <v>1509</v>
      </c>
      <c r="J82" s="1">
        <v>7075</v>
      </c>
    </row>
    <row r="83" ht="15.75" customHeight="1">
      <c r="B83" t="s">
        <v>1505</v>
      </c>
      <c r="C83" s="1">
        <v>27.152999999999995</v>
      </c>
      <c r="D83" t="s">
        <v>1484</v>
      </c>
      <c r="E83" s="1">
        <v>7863</v>
      </c>
      <c r="F83" t="s">
        <v>1484</v>
      </c>
      <c r="G83" s="1">
        <v>213504.03899999996</v>
      </c>
    </row>
    <row r="84" ht="15.75" customHeight="1"/>
    <row r="85" ht="45" customHeight="1">
      <c r="A85">
        <v>19</v>
      </c>
      <c r="B85" t="s">
        <v>1510</v>
      </c>
      <c r="J85" s="1">
        <v>795.6</v>
      </c>
    </row>
    <row r="86" ht="15.75" customHeight="1">
      <c r="B86" t="s">
        <v>1505</v>
      </c>
      <c r="C86" s="1">
        <v>157.49278116533117</v>
      </c>
      <c r="D86" t="s">
        <v>202</v>
      </c>
      <c r="E86" s="1">
        <v>1263</v>
      </c>
      <c r="F86" t="s">
        <v>202</v>
      </c>
      <c r="G86" s="1">
        <v>198913.38261181326</v>
      </c>
    </row>
    <row r="87" ht="15.75" customHeight="1"/>
    <row r="88" ht="75" customHeight="1">
      <c r="A88">
        <v>20</v>
      </c>
      <c r="B88" t="s">
        <v>1511</v>
      </c>
      <c r="J88" s="1">
        <v>590</v>
      </c>
    </row>
    <row r="89" ht="15.75" customHeight="1">
      <c r="B89" t="s">
        <v>1505</v>
      </c>
      <c r="C89" s="1">
        <v>182.39999999999998</v>
      </c>
      <c r="D89" t="s">
        <v>202</v>
      </c>
      <c r="E89" s="1">
        <v>248</v>
      </c>
      <c r="F89" t="s">
        <v>202</v>
      </c>
      <c r="G89" s="1">
        <v>45235.2</v>
      </c>
    </row>
    <row r="90" ht="15.75" customHeight="1"/>
    <row r="91" ht="105" customHeight="1">
      <c r="A91">
        <v>21</v>
      </c>
      <c r="B91" t="s">
        <v>1512</v>
      </c>
      <c r="J91" s="1">
        <v>3005</v>
      </c>
    </row>
    <row r="92" ht="15.75" customHeight="1">
      <c r="B92" t="s">
        <v>1483</v>
      </c>
      <c r="C92" s="1">
        <v>2033.3999999999999</v>
      </c>
      <c r="D92" t="s">
        <v>1484</v>
      </c>
      <c r="E92" s="1">
        <v>33</v>
      </c>
      <c r="F92" t="s">
        <v>1484</v>
      </c>
      <c r="G92" s="1">
        <v>67102.2</v>
      </c>
    </row>
    <row r="93" ht="15.75" customHeight="1"/>
    <row r="94" ht="105" customHeight="1">
      <c r="A94">
        <v>22</v>
      </c>
      <c r="B94" t="s">
        <v>1513</v>
      </c>
      <c r="J94" s="1">
        <v>3005</v>
      </c>
    </row>
    <row r="95" ht="15.75" customHeight="1">
      <c r="B95" t="s">
        <v>1483</v>
      </c>
      <c r="C95" s="1">
        <v>1355.6000000000001</v>
      </c>
      <c r="D95" t="s">
        <v>1484</v>
      </c>
      <c r="E95" s="1">
        <v>44</v>
      </c>
      <c r="F95" t="s">
        <v>1484</v>
      </c>
      <c r="G95" s="1">
        <v>59646.40000000001</v>
      </c>
    </row>
    <row r="96" ht="15.75" customHeight="1"/>
    <row r="97" ht="225" customHeight="1">
      <c r="A97">
        <v>23</v>
      </c>
      <c r="B97" t="s">
        <v>1514</v>
      </c>
      <c r="I97">
        <v>6.4</v>
      </c>
    </row>
    <row r="98" ht="15.75" customHeight="1">
      <c r="C98" s="1">
        <v>360</v>
      </c>
      <c r="D98" t="s">
        <v>1484</v>
      </c>
      <c r="E98" s="1">
        <v>5454</v>
      </c>
      <c r="F98" t="s">
        <v>1484</v>
      </c>
      <c r="G98" s="1">
        <v>1963440</v>
      </c>
    </row>
    <row r="99" ht="15.75" customHeight="1"/>
    <row r="100" ht="105" customHeight="1">
      <c r="A100">
        <v>24</v>
      </c>
      <c r="B100" t="s">
        <v>1515</v>
      </c>
      <c r="I100">
        <v>6.4</v>
      </c>
    </row>
    <row r="101" ht="15.75" customHeight="1">
      <c r="C101" s="1">
        <v>0</v>
      </c>
      <c r="D101" t="s">
        <v>92</v>
      </c>
      <c r="E101" s="1">
        <v>1747</v>
      </c>
      <c r="F101" t="s">
        <v>92</v>
      </c>
      <c r="G101" s="1" t="s">
        <v>1</v>
      </c>
    </row>
    <row r="102" ht="255" customHeight="1">
      <c r="A102" s="4">
        <v>25</v>
      </c>
      <c r="B102" t="s">
        <v>1516</v>
      </c>
      <c r="C102">
        <v>2</v>
      </c>
      <c r="D102" t="s">
        <v>238</v>
      </c>
      <c r="E102">
        <v>8300</v>
      </c>
      <c r="F102" t="s">
        <v>1517</v>
      </c>
      <c r="G102" s="1">
        <v>16600</v>
      </c>
    </row>
    <row r="103" ht="121.5" customHeight="1">
      <c r="A103" s="4">
        <v>26</v>
      </c>
      <c r="B103" t="s">
        <v>1518</v>
      </c>
      <c r="C103">
        <v>3</v>
      </c>
      <c r="D103" t="s">
        <v>238</v>
      </c>
      <c r="E103">
        <v>3300</v>
      </c>
      <c r="F103" t="s">
        <v>1517</v>
      </c>
      <c r="G103" s="1">
        <v>9900</v>
      </c>
    </row>
    <row r="104" ht="135" customHeight="1">
      <c r="A104">
        <v>27</v>
      </c>
      <c r="B104" t="s">
        <v>1519</v>
      </c>
      <c r="C104">
        <v>6</v>
      </c>
      <c r="D104" t="s">
        <v>238</v>
      </c>
      <c r="E104">
        <v>2269</v>
      </c>
      <c r="F104" t="s">
        <v>1517</v>
      </c>
      <c r="G104" s="1">
        <v>13614</v>
      </c>
    </row>
    <row r="105" ht="135" customHeight="1">
      <c r="A105" s="4">
        <v>28</v>
      </c>
      <c r="B105" t="s">
        <v>1520</v>
      </c>
      <c r="C105">
        <v>6</v>
      </c>
      <c r="D105" t="s">
        <v>238</v>
      </c>
      <c r="E105">
        <v>1894</v>
      </c>
      <c r="F105" t="s">
        <v>1517</v>
      </c>
      <c r="G105" s="1">
        <v>11364</v>
      </c>
    </row>
    <row r="106" ht="330" customHeight="1">
      <c r="A106" s="4">
        <v>29</v>
      </c>
      <c r="B106" t="s">
        <v>1521</v>
      </c>
      <c r="C106">
        <v>400</v>
      </c>
      <c r="D106" t="s">
        <v>238</v>
      </c>
      <c r="E106">
        <v>185.61</v>
      </c>
      <c r="F106" t="s">
        <v>1517</v>
      </c>
      <c r="G106" s="1">
        <v>74244</v>
      </c>
    </row>
    <row r="107" ht="120" customHeight="1">
      <c r="A107" s="4">
        <v>30</v>
      </c>
      <c r="B107" t="s">
        <v>1522</v>
      </c>
      <c r="C107" s="1">
        <v>500.17499999999995</v>
      </c>
      <c r="D107" t="s">
        <v>1523</v>
      </c>
      <c r="E107">
        <v>559</v>
      </c>
      <c r="F107" t="s">
        <v>1524</v>
      </c>
      <c r="G107" s="1">
        <v>279597.82499999995</v>
      </c>
    </row>
    <row r="108" ht="60" customHeight="1">
      <c r="A108" s="4">
        <v>31</v>
      </c>
      <c r="B108" t="s">
        <v>1525</v>
      </c>
      <c r="C108" s="1">
        <v>160.99689437998487</v>
      </c>
      <c r="D108" t="s">
        <v>1526</v>
      </c>
      <c r="E108">
        <v>908</v>
      </c>
      <c r="F108" t="s">
        <v>1527</v>
      </c>
      <c r="G108" s="1">
        <v>146185.18009702626</v>
      </c>
    </row>
    <row r="109" ht="105" customHeight="1">
      <c r="A109" s="4">
        <v>32</v>
      </c>
      <c r="B109" t="s">
        <v>1528</v>
      </c>
      <c r="C109" s="1">
        <v>2641.4953415699774</v>
      </c>
      <c r="D109" t="s">
        <v>1526</v>
      </c>
      <c r="E109">
        <v>844</v>
      </c>
      <c r="F109" t="s">
        <v>1527</v>
      </c>
      <c r="G109" s="1">
        <v>2229422.068285061</v>
      </c>
    </row>
    <row r="110" ht="60" customHeight="1">
      <c r="A110" s="4">
        <v>33</v>
      </c>
      <c r="B110" t="s">
        <v>1529</v>
      </c>
      <c r="C110" s="1">
        <v>30</v>
      </c>
      <c r="D110" t="s">
        <v>1530</v>
      </c>
      <c r="E110">
        <v>5087</v>
      </c>
      <c r="F110" t="s">
        <v>1531</v>
      </c>
      <c r="G110" s="1">
        <v>152610</v>
      </c>
    </row>
    <row r="111" ht="60" customHeight="1">
      <c r="A111" s="4">
        <v>34</v>
      </c>
      <c r="B111" t="s">
        <v>1532</v>
      </c>
      <c r="C111" s="1">
        <v>30</v>
      </c>
      <c r="D111" t="s">
        <v>1530</v>
      </c>
      <c r="E111">
        <v>3272</v>
      </c>
      <c r="F111" t="s">
        <v>1531</v>
      </c>
      <c r="G111" s="1">
        <v>98160</v>
      </c>
    </row>
    <row r="112" ht="60" customHeight="1">
      <c r="A112" s="4">
        <v>35</v>
      </c>
      <c r="B112" t="s">
        <v>1533</v>
      </c>
      <c r="C112" s="1">
        <v>120</v>
      </c>
      <c r="D112" t="s">
        <v>1530</v>
      </c>
      <c r="E112">
        <v>1215</v>
      </c>
      <c r="F112" t="s">
        <v>1531</v>
      </c>
      <c r="G112" s="1">
        <v>145800</v>
      </c>
    </row>
    <row r="113" ht="15.75" customHeight="1">
      <c r="F113" t="s">
        <v>1534</v>
      </c>
      <c r="G113" s="1">
        <v>100003890.15838893</v>
      </c>
    </row>
  </sheetData>
  <mergeCells count="3">
    <mergeCell ref="A1:G1"/>
    <mergeCell ref="A2:C2"/>
    <mergeCell ref="B3:G3"/>
  </mergeCells>
  <pageMargins left="0.9" right="0.2" top="0.74" bottom="0.55" header="0.5" footer="0.3"/>
  <ignoredErrors>
    <ignoredError numberStoredAsText="1" sqref="A1:J113"/>
  </ignoredErrors>
</worksheet>
</file>

<file path=xl/worksheets/sheet46.xml><?xml version="1.0" encoding="utf-8"?>
<worksheet xmlns="http://schemas.openxmlformats.org/spreadsheetml/2006/main" xmlns:r="http://schemas.openxmlformats.org/officeDocument/2006/relationships">
  <dimension ref="A1:R236"/>
  <sheetViews>
    <sheetView workbookViewId="0" rightToLeft="0"/>
  </sheetViews>
  <cols>
    <col min="1" max="1" customWidth="1" width="4.42578125"/>
    <col min="2" max="2" customWidth="1" width="6.5703125" hidden="true"/>
    <col min="3" max="3" customWidth="1" width="47"/>
    <col min="4" max="4" customWidth="1" width="8.42578125"/>
    <col min="5" max="5" customWidth="1" width="10"/>
    <col min="6" max="6" customWidth="1" width="10.140625"/>
    <col min="7" max="7" customWidth="1" width="9.28515625"/>
    <col min="8" max="8" customWidth="1" width="10.7109375"/>
    <col min="9" max="9" customWidth="1" width="5.7109375"/>
    <col min="10" max="10" customWidth="1" width="9.140625"/>
    <col min="11" max="11" customWidth="1" width="9.140625"/>
    <col min="12" max="12" customWidth="1" width="16.140625"/>
    <col min="13" max="13" customWidth="1" width="9.140625"/>
    <col min="14" max="14" customWidth="1" width="9.140625"/>
    <col min="15" max="15" customWidth="1" width="9.140625"/>
    <col min="16" max="16" customWidth="1" width="9.140625"/>
    <col min="17" max="17" customWidth="1" width="9.140625"/>
    <col min="18" max="18" customWidth="1" width="9.140625"/>
    <col min="19" max="19" customWidth="1" width="9.140625"/>
    <col min="20" max="20" customWidth="1" width="9.140625"/>
    <col min="21" max="21" customWidth="1" width="9.140625"/>
    <col min="22" max="22" customWidth="1" width="9.140625"/>
    <col min="23" max="23" customWidth="1" width="9.140625"/>
    <col min="24" max="24" customWidth="1" width="9.140625"/>
    <col min="25" max="25" customWidth="1" width="9.140625"/>
    <col min="26" max="26" customWidth="1" width="9.140625"/>
    <col min="27" max="27" customWidth="1" width="9.140625"/>
    <col min="28" max="28" customWidth="1" width="9.140625"/>
    <col min="29" max="29" customWidth="1" width="9.140625"/>
    <col min="30" max="30" customWidth="1" width="9.140625"/>
    <col min="31" max="31" customWidth="1" width="9.140625"/>
    <col min="32" max="32" customWidth="1" width="9.140625"/>
    <col min="33" max="33" customWidth="1" width="9.140625"/>
    <col min="34" max="34" customWidth="1" width="9.140625"/>
    <col min="35" max="35" customWidth="1" width="9.140625"/>
    <col min="36" max="36" customWidth="1" width="9.140625"/>
    <col min="37" max="37" customWidth="1" width="9.140625"/>
    <col min="38" max="38" customWidth="1" width="9.140625"/>
    <col min="39" max="39" customWidth="1" width="9.140625"/>
    <col min="40" max="40" customWidth="1" width="9.140625"/>
    <col min="41" max="41" customWidth="1" width="9.140625"/>
    <col min="42" max="42" customWidth="1" width="9.140625"/>
    <col min="43" max="43" customWidth="1" width="9.140625"/>
    <col min="44" max="44" customWidth="1" width="9.140625"/>
    <col min="45" max="45" customWidth="1" width="9.140625"/>
    <col min="46" max="46" customWidth="1" width="9.140625"/>
    <col min="47" max="47" customWidth="1" width="9.140625"/>
    <col min="48" max="48" customWidth="1" width="9.140625"/>
    <col min="49" max="49" customWidth="1" width="9.140625"/>
    <col min="50" max="50" customWidth="1" width="9.140625"/>
    <col min="51" max="51" customWidth="1" width="9.140625"/>
    <col min="52" max="52" customWidth="1" width="9.140625"/>
    <col min="53" max="53" customWidth="1" width="9.140625"/>
    <col min="54" max="54" customWidth="1" width="9.140625"/>
    <col min="55" max="55" customWidth="1" width="9.140625"/>
    <col min="56" max="56" customWidth="1" width="9.140625"/>
    <col min="57" max="57" customWidth="1" width="9.140625"/>
    <col min="58" max="58" customWidth="1" width="9.140625"/>
    <col min="59" max="59" customWidth="1" width="9.140625"/>
    <col min="60" max="60" customWidth="1" width="9.140625"/>
    <col min="61" max="61" customWidth="1" width="9.140625"/>
    <col min="62" max="62" customWidth="1" width="9.140625"/>
    <col min="63" max="63" customWidth="1" width="9.140625"/>
    <col min="64" max="64" customWidth="1" width="9.140625"/>
    <col min="65" max="65" customWidth="1" width="9.140625"/>
    <col min="66" max="66" customWidth="1" width="9.140625"/>
    <col min="67" max="67" customWidth="1" width="9.140625"/>
    <col min="68" max="68" customWidth="1" width="9.140625"/>
    <col min="69" max="69" customWidth="1" width="9.140625"/>
    <col min="70" max="70" customWidth="1" width="9.140625"/>
    <col min="71" max="71" customWidth="1" width="9.140625"/>
    <col min="72" max="72" customWidth="1" width="9.140625"/>
    <col min="73" max="73" customWidth="1" width="9.140625"/>
    <col min="74" max="74" customWidth="1" width="9.140625"/>
    <col min="75" max="75" customWidth="1" width="9.140625"/>
    <col min="76" max="76" customWidth="1" width="9.140625"/>
    <col min="77" max="77" customWidth="1" width="9.140625"/>
    <col min="78" max="78" customWidth="1" width="9.140625"/>
    <col min="79" max="79" customWidth="1" width="9.140625"/>
    <col min="80" max="80" customWidth="1" width="9.140625"/>
    <col min="81" max="81" customWidth="1" width="9.140625"/>
    <col min="82" max="82" customWidth="1" width="9.140625"/>
    <col min="83" max="83" customWidth="1" width="9.140625"/>
    <col min="84" max="84" customWidth="1" width="9.140625"/>
    <col min="85" max="85" customWidth="1" width="9.140625"/>
    <col min="86" max="86" customWidth="1" width="9.140625"/>
    <col min="87" max="87" customWidth="1" width="9.140625"/>
    <col min="88" max="88" customWidth="1" width="9.140625"/>
    <col min="89" max="89" customWidth="1" width="9.140625"/>
    <col min="90" max="90" customWidth="1" width="9.140625"/>
    <col min="91" max="91" customWidth="1" width="9.140625"/>
    <col min="92" max="92" customWidth="1" width="9.140625"/>
    <col min="93" max="93" customWidth="1" width="9.140625"/>
    <col min="94" max="94" customWidth="1" width="9.140625"/>
    <col min="95" max="95" customWidth="1" width="9.140625"/>
    <col min="96" max="96" customWidth="1" width="9.140625"/>
    <col min="97" max="97" customWidth="1" width="9.140625"/>
    <col min="98" max="98" customWidth="1" width="9.140625"/>
    <col min="99" max="99" customWidth="1" width="9.140625"/>
    <col min="100" max="100" customWidth="1" width="9.140625"/>
    <col min="101" max="101" customWidth="1" width="9.140625"/>
    <col min="102" max="102" customWidth="1" width="9.140625"/>
    <col min="103" max="103" customWidth="1" width="9.140625"/>
    <col min="104" max="104" customWidth="1" width="9.140625"/>
    <col min="105" max="105" customWidth="1" width="9.140625"/>
    <col min="106" max="106" customWidth="1" width="9.140625"/>
    <col min="107" max="107" customWidth="1" width="9.140625"/>
    <col min="108" max="108" customWidth="1" width="9.140625"/>
    <col min="109" max="109" customWidth="1" width="9.140625"/>
    <col min="110" max="110" customWidth="1" width="9.140625"/>
    <col min="111" max="111" customWidth="1" width="9.140625"/>
    <col min="112" max="112" customWidth="1" width="9.140625"/>
    <col min="113" max="113" customWidth="1" width="9.140625"/>
    <col min="114" max="114" customWidth="1" width="9.140625"/>
    <col min="115" max="115" customWidth="1" width="9.140625"/>
    <col min="116" max="116" customWidth="1" width="9.140625"/>
    <col min="117" max="117" customWidth="1" width="9.140625"/>
    <col min="118" max="118" customWidth="1" width="9.140625"/>
    <col min="119" max="119" customWidth="1" width="9.140625"/>
    <col min="120" max="120" customWidth="1" width="9.140625"/>
    <col min="121" max="121" customWidth="1" width="9.140625"/>
    <col min="122" max="122" customWidth="1" width="9.140625"/>
    <col min="123" max="123" customWidth="1" width="9.140625"/>
    <col min="124" max="124" customWidth="1" width="9.140625"/>
    <col min="125" max="125" customWidth="1" width="9.140625"/>
    <col min="126" max="126" customWidth="1" width="9.140625"/>
    <col min="127" max="127" customWidth="1" width="9.140625"/>
    <col min="128" max="128" customWidth="1" width="9.140625"/>
    <col min="129" max="129" customWidth="1" width="9.140625"/>
    <col min="130" max="130" customWidth="1" width="9.140625"/>
    <col min="131" max="131" customWidth="1" width="9.140625"/>
    <col min="132" max="132" customWidth="1" width="9.140625"/>
    <col min="133" max="133" customWidth="1" width="9.140625"/>
    <col min="134" max="134" customWidth="1" width="9.140625"/>
    <col min="135" max="135" customWidth="1" width="9.140625"/>
    <col min="136" max="136" customWidth="1" width="9.140625"/>
    <col min="137" max="137" customWidth="1" width="9.140625"/>
    <col min="138" max="138" customWidth="1" width="9.140625"/>
    <col min="139" max="139" customWidth="1" width="9.140625"/>
    <col min="140" max="140" customWidth="1" width="9.140625"/>
    <col min="141" max="141" customWidth="1" width="9.140625"/>
    <col min="142" max="142" customWidth="1" width="9.140625"/>
    <col min="143" max="143" customWidth="1" width="9.140625"/>
    <col min="144" max="144" customWidth="1" width="9.140625"/>
    <col min="145" max="145" customWidth="1" width="9.140625"/>
    <col min="146" max="146" customWidth="1" width="9.140625"/>
    <col min="147" max="147" customWidth="1" width="9.140625"/>
    <col min="148" max="148" customWidth="1" width="9.140625"/>
    <col min="149" max="149" customWidth="1" width="9.140625"/>
    <col min="150" max="150" customWidth="1" width="9.140625"/>
    <col min="151" max="151" customWidth="1" width="9.140625"/>
    <col min="152" max="152" customWidth="1" width="9.140625"/>
    <col min="153" max="153" customWidth="1" width="9.140625"/>
    <col min="154" max="154" customWidth="1" width="9.140625"/>
    <col min="155" max="155" customWidth="1" width="9.140625"/>
    <col min="156" max="156" customWidth="1" width="9.140625"/>
    <col min="157" max="157" customWidth="1" width="9.140625"/>
    <col min="158" max="158" customWidth="1" width="9.140625"/>
    <col min="159" max="159" customWidth="1" width="9.140625"/>
    <col min="160" max="160" customWidth="1" width="9.140625"/>
    <col min="161" max="161" customWidth="1" width="9.140625"/>
    <col min="162" max="162" customWidth="1" width="9.140625"/>
    <col min="163" max="163" customWidth="1" width="9.140625"/>
    <col min="164" max="164" customWidth="1" width="9.140625"/>
    <col min="165" max="165" customWidth="1" width="9.140625"/>
    <col min="166" max="166" customWidth="1" width="9.140625"/>
    <col min="167" max="167" customWidth="1" width="9.140625"/>
    <col min="168" max="168" customWidth="1" width="9.140625"/>
    <col min="169" max="169" customWidth="1" width="9.140625"/>
    <col min="170" max="170" customWidth="1" width="9.140625"/>
    <col min="171" max="171" customWidth="1" width="9.140625"/>
    <col min="172" max="172" customWidth="1" width="9.140625"/>
    <col min="173" max="173" customWidth="1" width="9.140625"/>
    <col min="174" max="174" customWidth="1" width="9.140625"/>
    <col min="175" max="175" customWidth="1" width="9.140625"/>
    <col min="176" max="176" customWidth="1" width="9.140625"/>
    <col min="177" max="177" customWidth="1" width="9.140625"/>
    <col min="178" max="178" customWidth="1" width="9.140625"/>
    <col min="179" max="179" customWidth="1" width="9.140625"/>
    <col min="180" max="180" customWidth="1" width="9.140625"/>
    <col min="181" max="181" customWidth="1" width="9.140625"/>
    <col min="182" max="182" customWidth="1" width="9.140625"/>
    <col min="183" max="183" customWidth="1" width="9.140625"/>
    <col min="184" max="184" customWidth="1" width="9.140625"/>
    <col min="185" max="185" customWidth="1" width="9.140625"/>
    <col min="186" max="186" customWidth="1" width="9.140625"/>
    <col min="187" max="187" customWidth="1" width="9.140625"/>
    <col min="188" max="188" customWidth="1" width="9.140625"/>
    <col min="189" max="189" customWidth="1" width="9.140625"/>
    <col min="190" max="190" customWidth="1" width="9.140625"/>
    <col min="191" max="191" customWidth="1" width="9.140625"/>
    <col min="192" max="192" customWidth="1" width="9.140625"/>
    <col min="193" max="193" customWidth="1" width="9.140625"/>
    <col min="194" max="194" customWidth="1" width="9.140625"/>
    <col min="195" max="195" customWidth="1" width="9.140625"/>
    <col min="196" max="196" customWidth="1" width="9.140625"/>
    <col min="197" max="197" customWidth="1" width="9.140625"/>
    <col min="198" max="198" customWidth="1" width="9.140625"/>
    <col min="199" max="199" customWidth="1" width="9.140625"/>
    <col min="200" max="200" customWidth="1" width="9.140625"/>
    <col min="201" max="201" customWidth="1" width="9.140625"/>
    <col min="202" max="202" customWidth="1" width="9.140625"/>
    <col min="203" max="203" customWidth="1" width="9.140625"/>
    <col min="204" max="204" customWidth="1" width="9.140625"/>
    <col min="205" max="205" customWidth="1" width="9.140625"/>
    <col min="206" max="206" customWidth="1" width="9.140625"/>
    <col min="207" max="207" customWidth="1" width="9.140625"/>
    <col min="208" max="208" customWidth="1" width="9.140625"/>
    <col min="209" max="209" customWidth="1" width="9.140625"/>
    <col min="210" max="210" customWidth="1" width="9.140625"/>
    <col min="211" max="211" customWidth="1" width="9.140625"/>
    <col min="212" max="212" customWidth="1" width="9.140625"/>
    <col min="213" max="213" customWidth="1" width="9.140625"/>
    <col min="214" max="214" customWidth="1" width="9.140625"/>
    <col min="215" max="215" customWidth="1" width="9.140625"/>
    <col min="216" max="216" customWidth="1" width="9.140625"/>
    <col min="217" max="217" customWidth="1" width="9.140625"/>
    <col min="218" max="218" customWidth="1" width="9.140625"/>
    <col min="219" max="219" customWidth="1" width="9.140625"/>
    <col min="220" max="220" customWidth="1" width="9.140625"/>
    <col min="221" max="221" customWidth="1" width="9.140625"/>
    <col min="222" max="222" customWidth="1" width="9.140625"/>
    <col min="223" max="223" customWidth="1" width="9.140625"/>
    <col min="224" max="224" customWidth="1" width="9.140625"/>
    <col min="225" max="225" customWidth="1" width="9.140625"/>
    <col min="226" max="226" customWidth="1" width="9.140625"/>
    <col min="227" max="227" customWidth="1" width="9.140625"/>
    <col min="228" max="228" customWidth="1" width="9.140625"/>
    <col min="229" max="229" customWidth="1" width="9.140625"/>
    <col min="230" max="230" customWidth="1" width="9.140625"/>
    <col min="231" max="231" customWidth="1" width="9.140625"/>
    <col min="232" max="232" customWidth="1" width="9.140625"/>
    <col min="233" max="233" customWidth="1" width="9.140625"/>
    <col min="234" max="234" customWidth="1" width="9.140625"/>
    <col min="235" max="235" customWidth="1" width="9.140625"/>
    <col min="236" max="236" customWidth="1" width="9.140625"/>
    <col min="237" max="237" customWidth="1" width="9.140625"/>
    <col min="238" max="238" customWidth="1" width="9.140625"/>
    <col min="239" max="239" customWidth="1" width="9.140625"/>
    <col min="240" max="240" customWidth="1" width="9.140625"/>
    <col min="241" max="241" customWidth="1" width="9.140625"/>
    <col min="242" max="242" customWidth="1" width="9.140625"/>
    <col min="243" max="243" customWidth="1" width="9.140625"/>
    <col min="244" max="244" customWidth="1" width="9.140625"/>
    <col min="245" max="245" customWidth="1" width="9.140625"/>
    <col min="246" max="246" customWidth="1" width="9.140625"/>
    <col min="247" max="247" customWidth="1" width="9.140625"/>
    <col min="248" max="248" customWidth="1" width="9.140625"/>
    <col min="249" max="249" customWidth="1" width="9.140625"/>
    <col min="250" max="250" customWidth="1" width="9.140625"/>
    <col min="251" max="251" customWidth="1" width="9.140625"/>
    <col min="252" max="252" customWidth="1" width="9.140625"/>
    <col min="253" max="253" customWidth="1" width="9.140625"/>
    <col min="254" max="254" customWidth="1" width="9.140625"/>
    <col min="255" max="255" customWidth="1" width="9.140625"/>
    <col min="256" max="256" customWidth="1" width="9.140625"/>
    <col min="257" max="257" customWidth="1" width="9.140625"/>
    <col min="258" max="258" customWidth="1" width="9.140625"/>
    <col min="259" max="259" customWidth="1" width="9.140625"/>
    <col min="260" max="260" customWidth="1" width="9.140625"/>
    <col min="261" max="261" customWidth="1" width="9.140625"/>
    <col min="262" max="262" customWidth="1" width="9.140625"/>
    <col min="263" max="263" customWidth="1" width="9.140625"/>
    <col min="264" max="264" customWidth="1" width="9.140625"/>
    <col min="265" max="265" customWidth="1" width="9.140625"/>
    <col min="266" max="266" customWidth="1" width="9.140625"/>
    <col min="267" max="267" customWidth="1" width="9.140625"/>
    <col min="268" max="268" customWidth="1" width="9.140625"/>
    <col min="269" max="269" customWidth="1" width="9.140625"/>
    <col min="270" max="270" customWidth="1" width="9.140625"/>
    <col min="271" max="271" customWidth="1" width="9.140625"/>
    <col min="272" max="272" customWidth="1" width="9.140625"/>
    <col min="273" max="273" customWidth="1" width="9.140625"/>
    <col min="274" max="274" customWidth="1" width="9.140625"/>
    <col min="275" max="275" customWidth="1" width="9.140625"/>
    <col min="276" max="276" customWidth="1" width="9.140625"/>
    <col min="277" max="277" customWidth="1" width="9.140625"/>
    <col min="278" max="278" customWidth="1" width="9.140625"/>
    <col min="279" max="279" customWidth="1" width="9.140625"/>
    <col min="280" max="280" customWidth="1" width="9.140625"/>
    <col min="281" max="281" customWidth="1" width="9.140625"/>
    <col min="282" max="282" customWidth="1" width="9.140625"/>
    <col min="283" max="283" customWidth="1" width="9.140625"/>
    <col min="284" max="284" customWidth="1" width="9.140625"/>
    <col min="285" max="285" customWidth="1" width="9.140625"/>
    <col min="286" max="286" customWidth="1" width="9.140625"/>
    <col min="287" max="287" customWidth="1" width="9.140625"/>
    <col min="288" max="288" customWidth="1" width="9.140625"/>
    <col min="289" max="289" customWidth="1" width="9.140625"/>
    <col min="290" max="290" customWidth="1" width="9.140625"/>
    <col min="291" max="291" customWidth="1" width="9.140625"/>
    <col min="292" max="292" customWidth="1" width="9.140625"/>
    <col min="293" max="293" customWidth="1" width="9.140625"/>
    <col min="294" max="294" customWidth="1" width="9.140625"/>
    <col min="295" max="295" customWidth="1" width="9.140625"/>
    <col min="296" max="296" customWidth="1" width="9.140625"/>
    <col min="297" max="297" customWidth="1" width="9.140625"/>
    <col min="298" max="298" customWidth="1" width="9.140625"/>
    <col min="299" max="299" customWidth="1" width="9.140625"/>
    <col min="300" max="300" customWidth="1" width="9.140625"/>
    <col min="301" max="301" customWidth="1" width="9.140625"/>
    <col min="302" max="302" customWidth="1" width="9.140625"/>
    <col min="303" max="303" customWidth="1" width="9.140625"/>
    <col min="304" max="304" customWidth="1" width="9.140625"/>
    <col min="305" max="305" customWidth="1" width="9.140625"/>
    <col min="306" max="306" customWidth="1" width="9.140625"/>
    <col min="307" max="307" customWidth="1" width="9.140625"/>
    <col min="308" max="308" customWidth="1" width="9.140625"/>
    <col min="309" max="309" customWidth="1" width="9.140625"/>
    <col min="310" max="310" customWidth="1" width="9.140625"/>
    <col min="311" max="311" customWidth="1" width="9.140625"/>
    <col min="312" max="312" customWidth="1" width="9.140625"/>
    <col min="313" max="313" customWidth="1" width="9.140625"/>
    <col min="314" max="314" customWidth="1" width="9.140625"/>
    <col min="315" max="315" customWidth="1" width="9.140625"/>
    <col min="316" max="316" customWidth="1" width="9.140625"/>
    <col min="317" max="317" customWidth="1" width="9.140625"/>
    <col min="318" max="318" customWidth="1" width="9.140625"/>
    <col min="319" max="319" customWidth="1" width="9.140625"/>
    <col min="320" max="320" customWidth="1" width="9.140625"/>
    <col min="321" max="321" customWidth="1" width="9.140625"/>
    <col min="322" max="322" customWidth="1" width="9.140625"/>
    <col min="323" max="323" customWidth="1" width="9.140625"/>
    <col min="324" max="324" customWidth="1" width="9.140625"/>
    <col min="325" max="325" customWidth="1" width="9.140625"/>
    <col min="326" max="326" customWidth="1" width="9.140625"/>
    <col min="327" max="327" customWidth="1" width="9.140625"/>
    <col min="328" max="328" customWidth="1" width="9.140625"/>
    <col min="329" max="329" customWidth="1" width="9.140625"/>
    <col min="330" max="330" customWidth="1" width="9.140625"/>
    <col min="331" max="331" customWidth="1" width="9.140625"/>
    <col min="332" max="332" customWidth="1" width="9.140625"/>
    <col min="333" max="333" customWidth="1" width="9.140625"/>
    <col min="334" max="334" customWidth="1" width="9.140625"/>
    <col min="335" max="335" customWidth="1" width="9.140625"/>
    <col min="336" max="336" customWidth="1" width="9.140625"/>
    <col min="337" max="337" customWidth="1" width="9.140625"/>
    <col min="338" max="338" customWidth="1" width="9.140625"/>
    <col min="339" max="339" customWidth="1" width="9.140625"/>
    <col min="340" max="340" customWidth="1" width="9.140625"/>
    <col min="341" max="341" customWidth="1" width="9.140625"/>
    <col min="342" max="342" customWidth="1" width="9.140625"/>
    <col min="343" max="343" customWidth="1" width="9.140625"/>
    <col min="344" max="344" customWidth="1" width="9.140625"/>
    <col min="345" max="345" customWidth="1" width="9.140625"/>
    <col min="346" max="346" customWidth="1" width="9.140625"/>
    <col min="347" max="347" customWidth="1" width="9.140625"/>
    <col min="348" max="348" customWidth="1" width="9.140625"/>
    <col min="349" max="349" customWidth="1" width="9.140625"/>
    <col min="350" max="350" customWidth="1" width="9.140625"/>
    <col min="351" max="351" customWidth="1" width="9.140625"/>
    <col min="352" max="352" customWidth="1" width="9.140625"/>
    <col min="353" max="353" customWidth="1" width="9.140625"/>
    <col min="354" max="354" customWidth="1" width="9.140625"/>
    <col min="355" max="355" customWidth="1" width="9.140625"/>
    <col min="356" max="356" customWidth="1" width="9.140625"/>
    <col min="357" max="357" customWidth="1" width="9.140625"/>
    <col min="358" max="358" customWidth="1" width="9.140625"/>
    <col min="359" max="359" customWidth="1" width="9.140625"/>
    <col min="360" max="360" customWidth="1" width="9.140625"/>
    <col min="361" max="361" customWidth="1" width="9.140625"/>
    <col min="362" max="362" customWidth="1" width="9.140625"/>
    <col min="363" max="363" customWidth="1" width="9.140625"/>
    <col min="364" max="364" customWidth="1" width="9.140625"/>
    <col min="365" max="365" customWidth="1" width="9.140625"/>
    <col min="366" max="366" customWidth="1" width="9.140625"/>
    <col min="367" max="367" customWidth="1" width="9.140625"/>
    <col min="368" max="368" customWidth="1" width="9.140625"/>
    <col min="369" max="369" customWidth="1" width="9.140625"/>
    <col min="370" max="370" customWidth="1" width="9.140625"/>
    <col min="371" max="371" customWidth="1" width="9.140625"/>
    <col min="372" max="372" customWidth="1" width="9.140625"/>
    <col min="373" max="373" customWidth="1" width="9.140625"/>
    <col min="374" max="374" customWidth="1" width="9.140625"/>
    <col min="375" max="375" customWidth="1" width="9.140625"/>
    <col min="376" max="376" customWidth="1" width="9.140625"/>
    <col min="377" max="377" customWidth="1" width="9.140625"/>
    <col min="378" max="378" customWidth="1" width="9.140625"/>
    <col min="379" max="379" customWidth="1" width="9.140625"/>
    <col min="380" max="380" customWidth="1" width="9.140625"/>
    <col min="381" max="381" customWidth="1" width="9.140625"/>
    <col min="382" max="382" customWidth="1" width="9.140625"/>
    <col min="383" max="383" customWidth="1" width="9.140625"/>
    <col min="384" max="384" customWidth="1" width="9.140625"/>
    <col min="385" max="385" customWidth="1" width="9.140625"/>
    <col min="386" max="386" customWidth="1" width="9.140625"/>
    <col min="387" max="387" customWidth="1" width="9.140625"/>
    <col min="388" max="388" customWidth="1" width="9.140625"/>
    <col min="389" max="389" customWidth="1" width="9.140625"/>
    <col min="390" max="390" customWidth="1" width="9.140625"/>
    <col min="391" max="391" customWidth="1" width="9.140625"/>
    <col min="392" max="392" customWidth="1" width="9.140625"/>
    <col min="393" max="393" customWidth="1" width="9.140625"/>
    <col min="394" max="394" customWidth="1" width="9.140625"/>
    <col min="395" max="395" customWidth="1" width="9.140625"/>
    <col min="396" max="396" customWidth="1" width="9.140625"/>
    <col min="397" max="397" customWidth="1" width="9.140625"/>
    <col min="398" max="398" customWidth="1" width="9.140625"/>
    <col min="399" max="399" customWidth="1" width="9.140625"/>
    <col min="400" max="400" customWidth="1" width="9.140625"/>
    <col min="401" max="401" customWidth="1" width="9.140625"/>
    <col min="402" max="402" customWidth="1" width="9.140625"/>
    <col min="403" max="403" customWidth="1" width="9.140625"/>
    <col min="404" max="404" customWidth="1" width="9.140625"/>
    <col min="405" max="405" customWidth="1" width="9.140625"/>
    <col min="406" max="406" customWidth="1" width="9.140625"/>
    <col min="407" max="407" customWidth="1" width="9.140625"/>
    <col min="408" max="408" customWidth="1" width="9.140625"/>
    <col min="409" max="409" customWidth="1" width="9.140625"/>
    <col min="410" max="410" customWidth="1" width="9.140625"/>
    <col min="411" max="411" customWidth="1" width="9.140625"/>
    <col min="412" max="412" customWidth="1" width="9.140625"/>
    <col min="413" max="413" customWidth="1" width="9.140625"/>
    <col min="414" max="414" customWidth="1" width="9.140625"/>
    <col min="415" max="415" customWidth="1" width="9.140625"/>
    <col min="416" max="416" customWidth="1" width="9.140625"/>
    <col min="417" max="417" customWidth="1" width="9.140625"/>
    <col min="418" max="418" customWidth="1" width="9.140625"/>
    <col min="419" max="419" customWidth="1" width="9.140625"/>
    <col min="420" max="420" customWidth="1" width="9.140625"/>
    <col min="421" max="421" customWidth="1" width="9.140625"/>
    <col min="422" max="422" customWidth="1" width="9.140625"/>
    <col min="423" max="423" customWidth="1" width="9.140625"/>
    <col min="424" max="424" customWidth="1" width="9.140625"/>
    <col min="425" max="425" customWidth="1" width="9.140625"/>
    <col min="426" max="426" customWidth="1" width="9.140625"/>
    <col min="427" max="427" customWidth="1" width="9.140625"/>
    <col min="428" max="428" customWidth="1" width="9.140625"/>
    <col min="429" max="429" customWidth="1" width="9.140625"/>
    <col min="430" max="430" customWidth="1" width="9.140625"/>
    <col min="431" max="431" customWidth="1" width="9.140625"/>
    <col min="432" max="432" customWidth="1" width="9.140625"/>
    <col min="433" max="433" customWidth="1" width="9.140625"/>
    <col min="434" max="434" customWidth="1" width="9.140625"/>
    <col min="435" max="435" customWidth="1" width="9.140625"/>
    <col min="436" max="436" customWidth="1" width="9.140625"/>
    <col min="437" max="437" customWidth="1" width="9.140625"/>
    <col min="438" max="438" customWidth="1" width="9.140625"/>
    <col min="439" max="439" customWidth="1" width="9.140625"/>
    <col min="440" max="440" customWidth="1" width="9.140625"/>
    <col min="441" max="441" customWidth="1" width="9.140625"/>
    <col min="442" max="442" customWidth="1" width="9.140625"/>
    <col min="443" max="443" customWidth="1" width="9.140625"/>
    <col min="444" max="444" customWidth="1" width="9.140625"/>
    <col min="445" max="445" customWidth="1" width="9.140625"/>
    <col min="446" max="446" customWidth="1" width="9.140625"/>
    <col min="447" max="447" customWidth="1" width="9.140625"/>
    <col min="448" max="448" customWidth="1" width="9.140625"/>
    <col min="449" max="449" customWidth="1" width="9.140625"/>
    <col min="450" max="450" customWidth="1" width="9.140625"/>
    <col min="451" max="451" customWidth="1" width="9.140625"/>
    <col min="452" max="452" customWidth="1" width="9.140625"/>
    <col min="453" max="453" customWidth="1" width="9.140625"/>
    <col min="454" max="454" customWidth="1" width="9.140625"/>
    <col min="455" max="455" customWidth="1" width="9.140625"/>
    <col min="456" max="456" customWidth="1" width="9.140625"/>
    <col min="457" max="457" customWidth="1" width="9.140625"/>
    <col min="458" max="458" customWidth="1" width="9.140625"/>
    <col min="459" max="459" customWidth="1" width="9.140625"/>
    <col min="460" max="460" customWidth="1" width="9.140625"/>
    <col min="461" max="461" customWidth="1" width="9.140625"/>
    <col min="462" max="462" customWidth="1" width="9.140625"/>
    <col min="463" max="463" customWidth="1" width="9.140625"/>
    <col min="464" max="464" customWidth="1" width="9.140625"/>
    <col min="465" max="465" customWidth="1" width="9.140625"/>
    <col min="466" max="466" customWidth="1" width="9.140625"/>
    <col min="467" max="467" customWidth="1" width="9.140625"/>
    <col min="468" max="468" customWidth="1" width="9.140625"/>
    <col min="469" max="469" customWidth="1" width="9.140625"/>
    <col min="470" max="470" customWidth="1" width="9.140625"/>
    <col min="471" max="471" customWidth="1" width="9.140625"/>
    <col min="472" max="472" customWidth="1" width="9.140625"/>
    <col min="473" max="473" customWidth="1" width="9.140625"/>
    <col min="474" max="474" customWidth="1" width="9.140625"/>
    <col min="475" max="475" customWidth="1" width="9.140625"/>
    <col min="476" max="476" customWidth="1" width="9.140625"/>
    <col min="477" max="477" customWidth="1" width="9.140625"/>
    <col min="478" max="478" customWidth="1" width="9.140625"/>
    <col min="479" max="479" customWidth="1" width="9.140625"/>
    <col min="480" max="480" customWidth="1" width="9.140625"/>
    <col min="481" max="481" customWidth="1" width="9.140625"/>
    <col min="482" max="482" customWidth="1" width="9.140625"/>
    <col min="483" max="483" customWidth="1" width="9.140625"/>
    <col min="484" max="484" customWidth="1" width="9.140625"/>
    <col min="485" max="485" customWidth="1" width="9.140625"/>
    <col min="486" max="486" customWidth="1" width="9.140625"/>
    <col min="487" max="487" customWidth="1" width="9.140625"/>
    <col min="488" max="488" customWidth="1" width="9.140625"/>
    <col min="489" max="489" customWidth="1" width="9.140625"/>
    <col min="490" max="490" customWidth="1" width="9.140625"/>
    <col min="491" max="491" customWidth="1" width="9.140625"/>
    <col min="492" max="492" customWidth="1" width="9.140625"/>
    <col min="493" max="493" customWidth="1" width="9.140625"/>
    <col min="494" max="494" customWidth="1" width="9.140625"/>
    <col min="495" max="495" customWidth="1" width="9.140625"/>
    <col min="496" max="496" customWidth="1" width="9.140625"/>
    <col min="497" max="497" customWidth="1" width="9.140625"/>
    <col min="498" max="498" customWidth="1" width="9.140625"/>
    <col min="499" max="499" customWidth="1" width="9.140625"/>
    <col min="500" max="500" customWidth="1" width="9.140625"/>
    <col min="501" max="501" customWidth="1" width="9.140625"/>
    <col min="502" max="502" customWidth="1" width="9.140625"/>
    <col min="503" max="503" customWidth="1" width="9.140625"/>
    <col min="504" max="504" customWidth="1" width="9.140625"/>
    <col min="505" max="505" customWidth="1" width="9.140625"/>
    <col min="506" max="506" customWidth="1" width="9.140625"/>
    <col min="507" max="507" customWidth="1" width="9.140625"/>
    <col min="508" max="508" customWidth="1" width="9.140625"/>
    <col min="509" max="509" customWidth="1" width="9.140625"/>
    <col min="510" max="510" customWidth="1" width="9.140625"/>
    <col min="511" max="511" customWidth="1" width="9.140625"/>
    <col min="512" max="512" customWidth="1" width="9.140625"/>
    <col min="513" max="513" customWidth="1" width="9.140625"/>
    <col min="514" max="514" customWidth="1" width="9.140625"/>
    <col min="515" max="515" customWidth="1" width="9.140625"/>
    <col min="516" max="516" customWidth="1" width="9.140625"/>
    <col min="517" max="517" customWidth="1" width="9.140625"/>
    <col min="518" max="518" customWidth="1" width="9.140625"/>
    <col min="519" max="519" customWidth="1" width="9.140625"/>
    <col min="520" max="520" customWidth="1" width="9.140625"/>
    <col min="521" max="521" customWidth="1" width="9.140625"/>
    <col min="522" max="522" customWidth="1" width="9.140625"/>
    <col min="523" max="523" customWidth="1" width="9.140625"/>
    <col min="524" max="524" customWidth="1" width="9.140625"/>
    <col min="525" max="525" customWidth="1" width="9.140625"/>
    <col min="526" max="526" customWidth="1" width="9.140625"/>
    <col min="527" max="527" customWidth="1" width="9.140625"/>
    <col min="528" max="528" customWidth="1" width="9.140625"/>
    <col min="529" max="529" customWidth="1" width="9.140625"/>
    <col min="530" max="530" customWidth="1" width="9.140625"/>
    <col min="531" max="531" customWidth="1" width="9.140625"/>
    <col min="532" max="532" customWidth="1" width="9.140625"/>
    <col min="533" max="533" customWidth="1" width="9.140625"/>
    <col min="534" max="534" customWidth="1" width="9.140625"/>
    <col min="535" max="535" customWidth="1" width="9.140625"/>
    <col min="536" max="536" customWidth="1" width="9.140625"/>
    <col min="537" max="537" customWidth="1" width="9.140625"/>
    <col min="538" max="538" customWidth="1" width="9.140625"/>
    <col min="539" max="539" customWidth="1" width="9.140625"/>
    <col min="540" max="540" customWidth="1" width="9.140625"/>
    <col min="541" max="541" customWidth="1" width="9.140625"/>
    <col min="542" max="542" customWidth="1" width="9.140625"/>
    <col min="543" max="543" customWidth="1" width="9.140625"/>
    <col min="544" max="544" customWidth="1" width="9.140625"/>
    <col min="545" max="545" customWidth="1" width="9.140625"/>
    <col min="546" max="546" customWidth="1" width="9.140625"/>
    <col min="547" max="547" customWidth="1" width="9.140625"/>
    <col min="548" max="548" customWidth="1" width="9.140625"/>
    <col min="549" max="549" customWidth="1" width="9.140625"/>
    <col min="550" max="550" customWidth="1" width="9.140625"/>
    <col min="551" max="551" customWidth="1" width="9.140625"/>
    <col min="552" max="552" customWidth="1" width="9.140625"/>
    <col min="553" max="553" customWidth="1" width="9.140625"/>
    <col min="554" max="554" customWidth="1" width="9.140625"/>
    <col min="555" max="555" customWidth="1" width="9.140625"/>
    <col min="556" max="556" customWidth="1" width="9.140625"/>
    <col min="557" max="557" customWidth="1" width="9.140625"/>
    <col min="558" max="558" customWidth="1" width="9.140625"/>
    <col min="559" max="559" customWidth="1" width="9.140625"/>
    <col min="560" max="560" customWidth="1" width="9.140625"/>
    <col min="561" max="561" customWidth="1" width="9.140625"/>
    <col min="562" max="562" customWidth="1" width="9.140625"/>
    <col min="563" max="563" customWidth="1" width="9.140625"/>
    <col min="564" max="564" customWidth="1" width="9.140625"/>
    <col min="565" max="565" customWidth="1" width="9.140625"/>
    <col min="566" max="566" customWidth="1" width="9.140625"/>
    <col min="567" max="567" customWidth="1" width="9.140625"/>
    <col min="568" max="568" customWidth="1" width="9.140625"/>
    <col min="569" max="569" customWidth="1" width="9.140625"/>
    <col min="570" max="570" customWidth="1" width="9.140625"/>
    <col min="571" max="571" customWidth="1" width="9.140625"/>
    <col min="572" max="572" customWidth="1" width="9.140625"/>
    <col min="573" max="573" customWidth="1" width="9.140625"/>
    <col min="574" max="574" customWidth="1" width="9.140625"/>
    <col min="575" max="575" customWidth="1" width="9.140625"/>
    <col min="576" max="576" customWidth="1" width="9.140625"/>
    <col min="577" max="577" customWidth="1" width="9.140625"/>
    <col min="578" max="578" customWidth="1" width="9.140625"/>
    <col min="579" max="579" customWidth="1" width="9.140625"/>
    <col min="580" max="580" customWidth="1" width="9.140625"/>
    <col min="581" max="581" customWidth="1" width="9.140625"/>
    <col min="582" max="582" customWidth="1" width="9.140625"/>
    <col min="583" max="583" customWidth="1" width="9.140625"/>
    <col min="584" max="584" customWidth="1" width="9.140625"/>
    <col min="585" max="585" customWidth="1" width="9.140625"/>
    <col min="586" max="586" customWidth="1" width="9.140625"/>
    <col min="587" max="587" customWidth="1" width="9.140625"/>
    <col min="588" max="588" customWidth="1" width="9.140625"/>
    <col min="589" max="589" customWidth="1" width="9.140625"/>
    <col min="590" max="590" customWidth="1" width="9.140625"/>
    <col min="591" max="591" customWidth="1" width="9.140625"/>
    <col min="592" max="592" customWidth="1" width="9.140625"/>
    <col min="593" max="593" customWidth="1" width="9.140625"/>
    <col min="594" max="594" customWidth="1" width="9.140625"/>
    <col min="595" max="595" customWidth="1" width="9.140625"/>
    <col min="596" max="596" customWidth="1" width="9.140625"/>
    <col min="597" max="597" customWidth="1" width="9.140625"/>
    <col min="598" max="598" customWidth="1" width="9.140625"/>
    <col min="599" max="599" customWidth="1" width="9.140625"/>
    <col min="600" max="600" customWidth="1" width="9.140625"/>
    <col min="601" max="601" customWidth="1" width="9.140625"/>
    <col min="602" max="602" customWidth="1" width="9.140625"/>
    <col min="603" max="603" customWidth="1" width="9.140625"/>
    <col min="604" max="604" customWidth="1" width="9.140625"/>
    <col min="605" max="605" customWidth="1" width="9.140625"/>
    <col min="606" max="606" customWidth="1" width="9.140625"/>
    <col min="607" max="607" customWidth="1" width="9.140625"/>
    <col min="608" max="608" customWidth="1" width="9.140625"/>
    <col min="609" max="609" customWidth="1" width="9.140625"/>
    <col min="610" max="610" customWidth="1" width="9.140625"/>
    <col min="611" max="611" customWidth="1" width="9.140625"/>
    <col min="612" max="612" customWidth="1" width="9.140625"/>
    <col min="613" max="613" customWidth="1" width="9.140625"/>
    <col min="614" max="614" customWidth="1" width="9.140625"/>
    <col min="615" max="615" customWidth="1" width="9.140625"/>
    <col min="616" max="616" customWidth="1" width="9.140625"/>
    <col min="617" max="617" customWidth="1" width="9.140625"/>
    <col min="618" max="618" customWidth="1" width="9.140625"/>
    <col min="619" max="619" customWidth="1" width="9.140625"/>
    <col min="620" max="620" customWidth="1" width="9.140625"/>
    <col min="621" max="621" customWidth="1" width="9.140625"/>
    <col min="622" max="622" customWidth="1" width="9.140625"/>
    <col min="623" max="623" customWidth="1" width="9.140625"/>
    <col min="624" max="624" customWidth="1" width="9.140625"/>
    <col min="625" max="625" customWidth="1" width="9.140625"/>
    <col min="626" max="626" customWidth="1" width="9.140625"/>
    <col min="627" max="627" customWidth="1" width="9.140625"/>
    <col min="628" max="628" customWidth="1" width="9.140625"/>
    <col min="629" max="629" customWidth="1" width="9.140625"/>
    <col min="630" max="630" customWidth="1" width="9.140625"/>
    <col min="631" max="631" customWidth="1" width="9.140625"/>
    <col min="632" max="632" customWidth="1" width="9.140625"/>
    <col min="633" max="633" customWidth="1" width="9.140625"/>
    <col min="634" max="634" customWidth="1" width="9.140625"/>
    <col min="635" max="635" customWidth="1" width="9.140625"/>
    <col min="636" max="636" customWidth="1" width="9.140625"/>
    <col min="637" max="637" customWidth="1" width="9.140625"/>
    <col min="638" max="638" customWidth="1" width="9.140625"/>
    <col min="639" max="639" customWidth="1" width="9.140625"/>
    <col min="640" max="640" customWidth="1" width="9.140625"/>
    <col min="641" max="641" customWidth="1" width="9.140625"/>
    <col min="642" max="642" customWidth="1" width="9.140625"/>
    <col min="643" max="643" customWidth="1" width="9.140625"/>
    <col min="644" max="644" customWidth="1" width="9.140625"/>
    <col min="645" max="645" customWidth="1" width="9.140625"/>
    <col min="646" max="646" customWidth="1" width="9.140625"/>
    <col min="647" max="647" customWidth="1" width="9.140625"/>
    <col min="648" max="648" customWidth="1" width="9.140625"/>
    <col min="649" max="649" customWidth="1" width="9.140625"/>
    <col min="650" max="650" customWidth="1" width="9.140625"/>
    <col min="651" max="651" customWidth="1" width="9.140625"/>
    <col min="652" max="652" customWidth="1" width="9.140625"/>
    <col min="653" max="653" customWidth="1" width="9.140625"/>
    <col min="654" max="654" customWidth="1" width="9.140625"/>
    <col min="655" max="655" customWidth="1" width="9.140625"/>
    <col min="656" max="656" customWidth="1" width="9.140625"/>
    <col min="657" max="657" customWidth="1" width="9.140625"/>
    <col min="658" max="658" customWidth="1" width="9.140625"/>
    <col min="659" max="659" customWidth="1" width="9.140625"/>
    <col min="660" max="660" customWidth="1" width="9.140625"/>
    <col min="661" max="661" customWidth="1" width="9.140625"/>
    <col min="662" max="662" customWidth="1" width="9.140625"/>
    <col min="663" max="663" customWidth="1" width="9.140625"/>
    <col min="664" max="664" customWidth="1" width="9.140625"/>
    <col min="665" max="665" customWidth="1" width="9.140625"/>
    <col min="666" max="666" customWidth="1" width="9.140625"/>
    <col min="667" max="667" customWidth="1" width="9.140625"/>
    <col min="668" max="668" customWidth="1" width="9.140625"/>
    <col min="669" max="669" customWidth="1" width="9.140625"/>
    <col min="670" max="670" customWidth="1" width="9.140625"/>
    <col min="671" max="671" customWidth="1" width="9.140625"/>
    <col min="672" max="672" customWidth="1" width="9.140625"/>
    <col min="673" max="673" customWidth="1" width="9.140625"/>
    <col min="674" max="674" customWidth="1" width="9.140625"/>
    <col min="675" max="675" customWidth="1" width="9.140625"/>
    <col min="676" max="676" customWidth="1" width="9.140625"/>
    <col min="677" max="677" customWidth="1" width="9.140625"/>
    <col min="678" max="678" customWidth="1" width="9.140625"/>
    <col min="679" max="679" customWidth="1" width="9.140625"/>
    <col min="680" max="680" customWidth="1" width="9.140625"/>
    <col min="681" max="681" customWidth="1" width="9.140625"/>
    <col min="682" max="682" customWidth="1" width="9.140625"/>
    <col min="683" max="683" customWidth="1" width="9.140625"/>
    <col min="684" max="684" customWidth="1" width="9.140625"/>
    <col min="685" max="685" customWidth="1" width="9.140625"/>
    <col min="686" max="686" customWidth="1" width="9.140625"/>
    <col min="687" max="687" customWidth="1" width="9.140625"/>
    <col min="688" max="688" customWidth="1" width="9.140625"/>
    <col min="689" max="689" customWidth="1" width="9.140625"/>
    <col min="690" max="690" customWidth="1" width="9.140625"/>
    <col min="691" max="691" customWidth="1" width="9.140625"/>
    <col min="692" max="692" customWidth="1" width="9.140625"/>
    <col min="693" max="693" customWidth="1" width="9.140625"/>
    <col min="694" max="694" customWidth="1" width="9.140625"/>
    <col min="695" max="695" customWidth="1" width="9.140625"/>
    <col min="696" max="696" customWidth="1" width="9.140625"/>
    <col min="697" max="697" customWidth="1" width="9.140625"/>
    <col min="698" max="698" customWidth="1" width="9.140625"/>
    <col min="699" max="699" customWidth="1" width="9.140625"/>
    <col min="700" max="700" customWidth="1" width="9.140625"/>
    <col min="701" max="701" customWidth="1" width="9.140625"/>
    <col min="702" max="702" customWidth="1" width="9.140625"/>
    <col min="703" max="703" customWidth="1" width="9.140625"/>
    <col min="704" max="704" customWidth="1" width="9.140625"/>
    <col min="705" max="705" customWidth="1" width="9.140625"/>
    <col min="706" max="706" customWidth="1" width="9.140625"/>
    <col min="707" max="707" customWidth="1" width="9.140625"/>
    <col min="708" max="708" customWidth="1" width="9.140625"/>
    <col min="709" max="709" customWidth="1" width="9.140625"/>
    <col min="710" max="710" customWidth="1" width="9.140625"/>
    <col min="711" max="711" customWidth="1" width="9.140625"/>
    <col min="712" max="712" customWidth="1" width="9.140625"/>
    <col min="713" max="713" customWidth="1" width="9.140625"/>
    <col min="714" max="714" customWidth="1" width="9.140625"/>
    <col min="715" max="715" customWidth="1" width="9.140625"/>
    <col min="716" max="716" customWidth="1" width="9.140625"/>
    <col min="717" max="717" customWidth="1" width="9.140625"/>
    <col min="718" max="718" customWidth="1" width="9.140625"/>
    <col min="719" max="719" customWidth="1" width="9.140625"/>
    <col min="720" max="720" customWidth="1" width="9.140625"/>
    <col min="721" max="721" customWidth="1" width="9.140625"/>
    <col min="722" max="722" customWidth="1" width="9.140625"/>
    <col min="723" max="723" customWidth="1" width="9.140625"/>
    <col min="724" max="724" customWidth="1" width="9.140625"/>
    <col min="725" max="725" customWidth="1" width="9.140625"/>
    <col min="726" max="726" customWidth="1" width="9.140625"/>
    <col min="727" max="727" customWidth="1" width="9.140625"/>
    <col min="728" max="728" customWidth="1" width="9.140625"/>
    <col min="729" max="729" customWidth="1" width="9.140625"/>
    <col min="730" max="730" customWidth="1" width="9.140625"/>
    <col min="731" max="731" customWidth="1" width="9.140625"/>
    <col min="732" max="732" customWidth="1" width="9.140625"/>
    <col min="733" max="733" customWidth="1" width="9.140625"/>
    <col min="734" max="734" customWidth="1" width="9.140625"/>
    <col min="735" max="735" customWidth="1" width="9.140625"/>
    <col min="736" max="736" customWidth="1" width="9.140625"/>
    <col min="737" max="737" customWidth="1" width="9.140625"/>
    <col min="738" max="738" customWidth="1" width="9.140625"/>
    <col min="739" max="739" customWidth="1" width="9.140625"/>
    <col min="740" max="740" customWidth="1" width="9.140625"/>
    <col min="741" max="741" customWidth="1" width="9.140625"/>
    <col min="742" max="742" customWidth="1" width="9.140625"/>
    <col min="743" max="743" customWidth="1" width="9.140625"/>
    <col min="744" max="744" customWidth="1" width="9.140625"/>
    <col min="745" max="745" customWidth="1" width="9.140625"/>
    <col min="746" max="746" customWidth="1" width="9.140625"/>
    <col min="747" max="747" customWidth="1" width="9.140625"/>
    <col min="748" max="748" customWidth="1" width="9.140625"/>
    <col min="749" max="749" customWidth="1" width="9.140625"/>
    <col min="750" max="750" customWidth="1" width="9.140625"/>
    <col min="751" max="751" customWidth="1" width="9.140625"/>
    <col min="752" max="752" customWidth="1" width="9.140625"/>
    <col min="753" max="753" customWidth="1" width="9.140625"/>
    <col min="754" max="754" customWidth="1" width="9.140625"/>
    <col min="755" max="755" customWidth="1" width="9.140625"/>
    <col min="756" max="756" customWidth="1" width="9.140625"/>
    <col min="757" max="757" customWidth="1" width="9.140625"/>
    <col min="758" max="758" customWidth="1" width="9.140625"/>
    <col min="759" max="759" customWidth="1" width="9.140625"/>
    <col min="760" max="760" customWidth="1" width="9.140625"/>
    <col min="761" max="761" customWidth="1" width="9.140625"/>
    <col min="762" max="762" customWidth="1" width="9.140625"/>
    <col min="763" max="763" customWidth="1" width="9.140625"/>
    <col min="764" max="764" customWidth="1" width="9.140625"/>
    <col min="765" max="765" customWidth="1" width="9.140625"/>
    <col min="766" max="766" customWidth="1" width="9.140625"/>
    <col min="767" max="767" customWidth="1" width="9.140625"/>
    <col min="768" max="768" customWidth="1" width="9.140625"/>
    <col min="769" max="769" customWidth="1" width="9.140625"/>
    <col min="770" max="770" customWidth="1" width="9.140625"/>
    <col min="771" max="771" customWidth="1" width="9.140625"/>
    <col min="772" max="772" customWidth="1" width="9.140625"/>
    <col min="773" max="773" customWidth="1" width="9.140625"/>
    <col min="774" max="774" customWidth="1" width="9.140625"/>
    <col min="775" max="775" customWidth="1" width="9.140625"/>
    <col min="776" max="776" customWidth="1" width="9.140625"/>
    <col min="777" max="777" customWidth="1" width="9.140625"/>
    <col min="778" max="778" customWidth="1" width="9.140625"/>
    <col min="779" max="779" customWidth="1" width="9.140625"/>
    <col min="780" max="780" customWidth="1" width="9.140625"/>
    <col min="781" max="781" customWidth="1" width="9.140625"/>
    <col min="782" max="782" customWidth="1" width="9.140625"/>
    <col min="783" max="783" customWidth="1" width="9.140625"/>
    <col min="784" max="784" customWidth="1" width="9.140625"/>
    <col min="785" max="785" customWidth="1" width="9.140625"/>
    <col min="786" max="786" customWidth="1" width="9.140625"/>
    <col min="787" max="787" customWidth="1" width="9.140625"/>
    <col min="788" max="788" customWidth="1" width="9.140625"/>
    <col min="789" max="789" customWidth="1" width="9.140625"/>
    <col min="790" max="790" customWidth="1" width="9.140625"/>
    <col min="791" max="791" customWidth="1" width="9.140625"/>
    <col min="792" max="792" customWidth="1" width="9.140625"/>
    <col min="793" max="793" customWidth="1" width="9.140625"/>
    <col min="794" max="794" customWidth="1" width="9.140625"/>
    <col min="795" max="795" customWidth="1" width="9.140625"/>
    <col min="796" max="796" customWidth="1" width="9.140625"/>
    <col min="797" max="797" customWidth="1" width="9.140625"/>
    <col min="798" max="798" customWidth="1" width="9.140625"/>
    <col min="799" max="799" customWidth="1" width="9.140625"/>
    <col min="800" max="800" customWidth="1" width="9.140625"/>
    <col min="801" max="801" customWidth="1" width="9.140625"/>
    <col min="802" max="802" customWidth="1" width="9.140625"/>
    <col min="803" max="803" customWidth="1" width="9.140625"/>
    <col min="804" max="804" customWidth="1" width="9.140625"/>
    <col min="805" max="805" customWidth="1" width="9.140625"/>
    <col min="806" max="806" customWidth="1" width="9.140625"/>
    <col min="807" max="807" customWidth="1" width="9.140625"/>
    <col min="808" max="808" customWidth="1" width="9.140625"/>
    <col min="809" max="809" customWidth="1" width="9.140625"/>
    <col min="810" max="810" customWidth="1" width="9.140625"/>
    <col min="811" max="811" customWidth="1" width="9.140625"/>
    <col min="812" max="812" customWidth="1" width="9.140625"/>
    <col min="813" max="813" customWidth="1" width="9.140625"/>
    <col min="814" max="814" customWidth="1" width="9.140625"/>
    <col min="815" max="815" customWidth="1" width="9.140625"/>
    <col min="816" max="816" customWidth="1" width="9.140625"/>
    <col min="817" max="817" customWidth="1" width="9.140625"/>
    <col min="818" max="818" customWidth="1" width="9.140625"/>
    <col min="819" max="819" customWidth="1" width="9.140625"/>
    <col min="820" max="820" customWidth="1" width="9.140625"/>
    <col min="821" max="821" customWidth="1" width="9.140625"/>
    <col min="822" max="822" customWidth="1" width="9.140625"/>
    <col min="823" max="823" customWidth="1" width="9.140625"/>
    <col min="824" max="824" customWidth="1" width="9.140625"/>
    <col min="825" max="825" customWidth="1" width="9.140625"/>
    <col min="826" max="826" customWidth="1" width="9.140625"/>
    <col min="827" max="827" customWidth="1" width="9.140625"/>
    <col min="828" max="828" customWidth="1" width="9.140625"/>
    <col min="829" max="829" customWidth="1" width="9.140625"/>
    <col min="830" max="830" customWidth="1" width="9.140625"/>
    <col min="831" max="831" customWidth="1" width="9.140625"/>
    <col min="832" max="832" customWidth="1" width="9.140625"/>
    <col min="833" max="833" customWidth="1" width="9.140625"/>
    <col min="834" max="834" customWidth="1" width="9.140625"/>
    <col min="835" max="835" customWidth="1" width="9.140625"/>
    <col min="836" max="836" customWidth="1" width="9.140625"/>
    <col min="837" max="837" customWidth="1" width="9.140625"/>
    <col min="838" max="838" customWidth="1" width="9.140625"/>
    <col min="839" max="839" customWidth="1" width="9.140625"/>
    <col min="840" max="840" customWidth="1" width="9.140625"/>
    <col min="841" max="841" customWidth="1" width="9.140625"/>
    <col min="842" max="842" customWidth="1" width="9.140625"/>
    <col min="843" max="843" customWidth="1" width="9.140625"/>
    <col min="844" max="844" customWidth="1" width="9.140625"/>
    <col min="845" max="845" customWidth="1" width="9.140625"/>
    <col min="846" max="846" customWidth="1" width="9.140625"/>
    <col min="847" max="847" customWidth="1" width="9.140625"/>
    <col min="848" max="848" customWidth="1" width="9.140625"/>
    <col min="849" max="849" customWidth="1" width="9.140625"/>
    <col min="850" max="850" customWidth="1" width="9.140625"/>
    <col min="851" max="851" customWidth="1" width="9.140625"/>
    <col min="852" max="852" customWidth="1" width="9.140625"/>
    <col min="853" max="853" customWidth="1" width="9.140625"/>
    <col min="854" max="854" customWidth="1" width="9.140625"/>
    <col min="855" max="855" customWidth="1" width="9.140625"/>
    <col min="856" max="856" customWidth="1" width="9.140625"/>
    <col min="857" max="857" customWidth="1" width="9.140625"/>
    <col min="858" max="858" customWidth="1" width="9.140625"/>
    <col min="859" max="859" customWidth="1" width="9.140625"/>
    <col min="860" max="860" customWidth="1" width="9.140625"/>
    <col min="861" max="861" customWidth="1" width="9.140625"/>
    <col min="862" max="862" customWidth="1" width="9.140625"/>
    <col min="863" max="863" customWidth="1" width="9.140625"/>
    <col min="864" max="864" customWidth="1" width="9.140625"/>
    <col min="865" max="865" customWidth="1" width="9.140625"/>
    <col min="866" max="866" customWidth="1" width="9.140625"/>
    <col min="867" max="867" customWidth="1" width="9.140625"/>
    <col min="868" max="868" customWidth="1" width="9.140625"/>
    <col min="869" max="869" customWidth="1" width="9.140625"/>
    <col min="870" max="870" customWidth="1" width="9.140625"/>
    <col min="871" max="871" customWidth="1" width="9.140625"/>
    <col min="872" max="872" customWidth="1" width="9.140625"/>
    <col min="873" max="873" customWidth="1" width="9.140625"/>
    <col min="874" max="874" customWidth="1" width="9.140625"/>
    <col min="875" max="875" customWidth="1" width="9.140625"/>
    <col min="876" max="876" customWidth="1" width="9.140625"/>
    <col min="877" max="877" customWidth="1" width="9.140625"/>
    <col min="878" max="878" customWidth="1" width="9.140625"/>
    <col min="879" max="879" customWidth="1" width="9.140625"/>
    <col min="880" max="880" customWidth="1" width="9.140625"/>
    <col min="881" max="881" customWidth="1" width="9.140625"/>
    <col min="882" max="882" customWidth="1" width="9.140625"/>
    <col min="883" max="883" customWidth="1" width="9.140625"/>
    <col min="884" max="884" customWidth="1" width="9.140625"/>
    <col min="885" max="885" customWidth="1" width="9.140625"/>
    <col min="886" max="886" customWidth="1" width="9.140625"/>
    <col min="887" max="887" customWidth="1" width="9.140625"/>
    <col min="888" max="888" customWidth="1" width="9.140625"/>
    <col min="889" max="889" customWidth="1" width="9.140625"/>
    <col min="890" max="890" customWidth="1" width="9.140625"/>
    <col min="891" max="891" customWidth="1" width="9.140625"/>
    <col min="892" max="892" customWidth="1" width="9.140625"/>
    <col min="893" max="893" customWidth="1" width="9.140625"/>
    <col min="894" max="894" customWidth="1" width="9.140625"/>
    <col min="895" max="895" customWidth="1" width="9.140625"/>
    <col min="896" max="896" customWidth="1" width="9.140625"/>
    <col min="897" max="897" customWidth="1" width="9.140625"/>
    <col min="898" max="898" customWidth="1" width="9.140625"/>
    <col min="899" max="899" customWidth="1" width="9.140625"/>
    <col min="900" max="900" customWidth="1" width="9.140625"/>
    <col min="901" max="901" customWidth="1" width="9.140625"/>
    <col min="902" max="902" customWidth="1" width="9.140625"/>
    <col min="903" max="903" customWidth="1" width="9.140625"/>
    <col min="904" max="904" customWidth="1" width="9.140625"/>
    <col min="905" max="905" customWidth="1" width="9.140625"/>
    <col min="906" max="906" customWidth="1" width="9.140625"/>
    <col min="907" max="907" customWidth="1" width="9.140625"/>
    <col min="908" max="908" customWidth="1" width="9.140625"/>
    <col min="909" max="909" customWidth="1" width="9.140625"/>
    <col min="910" max="910" customWidth="1" width="9.140625"/>
    <col min="911" max="911" customWidth="1" width="9.140625"/>
    <col min="912" max="912" customWidth="1" width="9.140625"/>
    <col min="913" max="913" customWidth="1" width="9.140625"/>
    <col min="914" max="914" customWidth="1" width="9.140625"/>
    <col min="915" max="915" customWidth="1" width="9.140625"/>
    <col min="916" max="916" customWidth="1" width="9.140625"/>
    <col min="917" max="917" customWidth="1" width="9.140625"/>
    <col min="918" max="918" customWidth="1" width="9.140625"/>
    <col min="919" max="919" customWidth="1" width="9.140625"/>
    <col min="920" max="920" customWidth="1" width="9.140625"/>
    <col min="921" max="921" customWidth="1" width="9.140625"/>
    <col min="922" max="922" customWidth="1" width="9.140625"/>
    <col min="923" max="923" customWidth="1" width="9.140625"/>
    <col min="924" max="924" customWidth="1" width="9.140625"/>
    <col min="925" max="925" customWidth="1" width="9.140625"/>
    <col min="926" max="926" customWidth="1" width="9.140625"/>
    <col min="927" max="927" customWidth="1" width="9.140625"/>
    <col min="928" max="928" customWidth="1" width="9.140625"/>
    <col min="929" max="929" customWidth="1" width="9.140625"/>
    <col min="930" max="930" customWidth="1" width="9.140625"/>
    <col min="931" max="931" customWidth="1" width="9.140625"/>
    <col min="932" max="932" customWidth="1" width="9.140625"/>
    <col min="933" max="933" customWidth="1" width="9.140625"/>
    <col min="934" max="934" customWidth="1" width="9.140625"/>
    <col min="935" max="935" customWidth="1" width="9.140625"/>
    <col min="936" max="936" customWidth="1" width="9.140625"/>
    <col min="937" max="937" customWidth="1" width="9.140625"/>
    <col min="938" max="938" customWidth="1" width="9.140625"/>
    <col min="939" max="939" customWidth="1" width="9.140625"/>
    <col min="940" max="940" customWidth="1" width="9.140625"/>
    <col min="941" max="941" customWidth="1" width="9.140625"/>
    <col min="942" max="942" customWidth="1" width="9.140625"/>
    <col min="943" max="943" customWidth="1" width="9.140625"/>
    <col min="944" max="944" customWidth="1" width="9.140625"/>
    <col min="945" max="945" customWidth="1" width="9.140625"/>
    <col min="946" max="946" customWidth="1" width="9.140625"/>
    <col min="947" max="947" customWidth="1" width="9.140625"/>
    <col min="948" max="948" customWidth="1" width="9.140625"/>
    <col min="949" max="949" customWidth="1" width="9.140625"/>
    <col min="950" max="950" customWidth="1" width="9.140625"/>
    <col min="951" max="951" customWidth="1" width="9.140625"/>
    <col min="952" max="952" customWidth="1" width="9.140625"/>
    <col min="953" max="953" customWidth="1" width="9.140625"/>
    <col min="954" max="954" customWidth="1" width="9.140625"/>
    <col min="955" max="955" customWidth="1" width="9.140625"/>
    <col min="956" max="956" customWidth="1" width="9.140625"/>
    <col min="957" max="957" customWidth="1" width="9.140625"/>
    <col min="958" max="958" customWidth="1" width="9.140625"/>
    <col min="959" max="959" customWidth="1" width="9.140625"/>
    <col min="960" max="960" customWidth="1" width="9.140625"/>
    <col min="961" max="961" customWidth="1" width="9.140625"/>
    <col min="962" max="962" customWidth="1" width="9.140625"/>
    <col min="963" max="963" customWidth="1" width="9.140625"/>
    <col min="964" max="964" customWidth="1" width="9.140625"/>
    <col min="965" max="965" customWidth="1" width="9.140625"/>
    <col min="966" max="966" customWidth="1" width="9.140625"/>
    <col min="967" max="967" customWidth="1" width="9.140625"/>
    <col min="968" max="968" customWidth="1" width="9.140625"/>
    <col min="969" max="969" customWidth="1" width="9.140625"/>
    <col min="970" max="970" customWidth="1" width="9.140625"/>
    <col min="971" max="971" customWidth="1" width="9.140625"/>
    <col min="972" max="972" customWidth="1" width="9.140625"/>
    <col min="973" max="973" customWidth="1" width="9.140625"/>
    <col min="974" max="974" customWidth="1" width="9.140625"/>
    <col min="975" max="975" customWidth="1" width="9.140625"/>
    <col min="976" max="976" customWidth="1" width="9.140625"/>
    <col min="977" max="977" customWidth="1" width="9.140625"/>
    <col min="978" max="978" customWidth="1" width="9.140625"/>
    <col min="979" max="979" customWidth="1" width="9.140625"/>
    <col min="980" max="980" customWidth="1" width="9.140625"/>
    <col min="981" max="981" customWidth="1" width="9.140625"/>
    <col min="982" max="982" customWidth="1" width="9.140625"/>
    <col min="983" max="983" customWidth="1" width="9.140625"/>
    <col min="984" max="984" customWidth="1" width="9.140625"/>
    <col min="985" max="985" customWidth="1" width="9.140625"/>
    <col min="986" max="986" customWidth="1" width="9.140625"/>
    <col min="987" max="987" customWidth="1" width="9.140625"/>
    <col min="988" max="988" customWidth="1" width="9.140625"/>
    <col min="989" max="989" customWidth="1" width="9.140625"/>
    <col min="990" max="990" customWidth="1" width="9.140625"/>
    <col min="991" max="991" customWidth="1" width="9.140625"/>
    <col min="992" max="992" customWidth="1" width="9.140625"/>
    <col min="993" max="993" customWidth="1" width="9.140625"/>
    <col min="994" max="994" customWidth="1" width="9.140625"/>
    <col min="995" max="995" customWidth="1" width="9.140625"/>
    <col min="996" max="996" customWidth="1" width="9.140625"/>
    <col min="997" max="997" customWidth="1" width="9.140625"/>
    <col min="998" max="998" customWidth="1" width="9.140625"/>
    <col min="999" max="999" customWidth="1" width="9.140625"/>
    <col min="1000" max="1000" customWidth="1" width="9.140625"/>
    <col min="1001" max="1001" customWidth="1" width="9.140625"/>
    <col min="1002" max="1002" customWidth="1" width="9.140625"/>
    <col min="1003" max="1003" customWidth="1" width="9.140625"/>
    <col min="1004" max="1004" customWidth="1" width="9.140625"/>
    <col min="1005" max="1005" customWidth="1" width="9.140625"/>
    <col min="1006" max="1006" customWidth="1" width="9.140625"/>
    <col min="1007" max="1007" customWidth="1" width="9.140625"/>
    <col min="1008" max="1008" customWidth="1" width="9.140625"/>
    <col min="1009" max="1009" customWidth="1" width="9.140625"/>
    <col min="1010" max="1010" customWidth="1" width="9.140625"/>
    <col min="1011" max="1011" customWidth="1" width="9.140625"/>
    <col min="1012" max="1012" customWidth="1" width="9.140625"/>
    <col min="1013" max="1013" customWidth="1" width="9.140625"/>
    <col min="1014" max="1014" customWidth="1" width="9.140625"/>
    <col min="1015" max="1015" customWidth="1" width="9.140625"/>
    <col min="1016" max="1016" customWidth="1" width="9.140625"/>
    <col min="1017" max="1017" customWidth="1" width="9.140625"/>
    <col min="1018" max="1018" customWidth="1" width="9.140625"/>
    <col min="1019" max="1019" customWidth="1" width="9.140625"/>
    <col min="1020" max="1020" customWidth="1" width="9.140625"/>
    <col min="1021" max="1021" customWidth="1" width="9.140625"/>
    <col min="1022" max="1022" customWidth="1" width="9.140625"/>
    <col min="1023" max="1023" customWidth="1" width="9.140625"/>
    <col min="1024" max="1024" customWidth="1" width="9.140625"/>
    <col min="1025" max="1025" customWidth="1" width="9.140625"/>
    <col min="1026" max="1026" customWidth="1" width="9.140625"/>
    <col min="1027" max="1027" customWidth="1" width="9.140625"/>
    <col min="1028" max="1028" customWidth="1" width="9.140625"/>
    <col min="1029" max="1029" customWidth="1" width="9.140625"/>
    <col min="1030" max="1030" customWidth="1" width="9.140625"/>
    <col min="1031" max="1031" customWidth="1" width="9.140625"/>
    <col min="1032" max="1032" customWidth="1" width="9.140625"/>
    <col min="1033" max="1033" customWidth="1" width="9.140625"/>
    <col min="1034" max="1034" customWidth="1" width="9.140625"/>
    <col min="1035" max="1035" customWidth="1" width="9.140625"/>
    <col min="1036" max="1036" customWidth="1" width="9.140625"/>
    <col min="1037" max="1037" customWidth="1" width="9.140625"/>
    <col min="1038" max="1038" customWidth="1" width="9.140625"/>
    <col min="1039" max="1039" customWidth="1" width="9.140625"/>
    <col min="1040" max="1040" customWidth="1" width="9.140625"/>
    <col min="1041" max="1041" customWidth="1" width="9.140625"/>
    <col min="1042" max="1042" customWidth="1" width="9.140625"/>
    <col min="1043" max="1043" customWidth="1" width="9.140625"/>
    <col min="1044" max="1044" customWidth="1" width="9.140625"/>
    <col min="1045" max="1045" customWidth="1" width="9.140625"/>
    <col min="1046" max="1046" customWidth="1" width="9.140625"/>
    <col min="1047" max="1047" customWidth="1" width="9.140625"/>
    <col min="1048" max="1048" customWidth="1" width="9.140625"/>
    <col min="1049" max="1049" customWidth="1" width="9.140625"/>
    <col min="1050" max="1050" customWidth="1" width="9.140625"/>
    <col min="1051" max="1051" customWidth="1" width="9.140625"/>
    <col min="1052" max="1052" customWidth="1" width="9.140625"/>
    <col min="1053" max="1053" customWidth="1" width="9.140625"/>
    <col min="1054" max="1054" customWidth="1" width="9.140625"/>
    <col min="1055" max="1055" customWidth="1" width="9.140625"/>
    <col min="1056" max="1056" customWidth="1" width="9.140625"/>
    <col min="1057" max="1057" customWidth="1" width="9.140625"/>
    <col min="1058" max="1058" customWidth="1" width="9.140625"/>
    <col min="1059" max="1059" customWidth="1" width="9.140625"/>
    <col min="1060" max="1060" customWidth="1" width="9.140625"/>
    <col min="1061" max="1061" customWidth="1" width="9.140625"/>
    <col min="1062" max="1062" customWidth="1" width="9.140625"/>
    <col min="1063" max="1063" customWidth="1" width="9.140625"/>
    <col min="1064" max="1064" customWidth="1" width="9.140625"/>
    <col min="1065" max="1065" customWidth="1" width="9.140625"/>
    <col min="1066" max="1066" customWidth="1" width="9.140625"/>
    <col min="1067" max="1067" customWidth="1" width="9.140625"/>
    <col min="1068" max="1068" customWidth="1" width="9.140625"/>
    <col min="1069" max="1069" customWidth="1" width="9.140625"/>
    <col min="1070" max="1070" customWidth="1" width="9.140625"/>
    <col min="1071" max="1071" customWidth="1" width="9.140625"/>
    <col min="1072" max="1072" customWidth="1" width="9.140625"/>
    <col min="1073" max="1073" customWidth="1" width="9.140625"/>
    <col min="1074" max="1074" customWidth="1" width="9.140625"/>
    <col min="1075" max="1075" customWidth="1" width="9.140625"/>
    <col min="1076" max="1076" customWidth="1" width="9.140625"/>
    <col min="1077" max="1077" customWidth="1" width="9.140625"/>
    <col min="1078" max="1078" customWidth="1" width="9.140625"/>
    <col min="1079" max="1079" customWidth="1" width="9.140625"/>
    <col min="1080" max="1080" customWidth="1" width="9.140625"/>
    <col min="1081" max="1081" customWidth="1" width="9.140625"/>
    <col min="1082" max="1082" customWidth="1" width="9.140625"/>
    <col min="1083" max="1083" customWidth="1" width="9.140625"/>
    <col min="1084" max="1084" customWidth="1" width="9.140625"/>
    <col min="1085" max="1085" customWidth="1" width="9.140625"/>
    <col min="1086" max="1086" customWidth="1" width="9.140625"/>
    <col min="1087" max="1087" customWidth="1" width="9.140625"/>
    <col min="1088" max="1088" customWidth="1" width="9.140625"/>
    <col min="1089" max="1089" customWidth="1" width="9.140625"/>
    <col min="1090" max="1090" customWidth="1" width="9.140625"/>
    <col min="1091" max="1091" customWidth="1" width="9.140625"/>
    <col min="1092" max="1092" customWidth="1" width="9.140625"/>
    <col min="1093" max="1093" customWidth="1" width="9.140625"/>
    <col min="1094" max="1094" customWidth="1" width="9.140625"/>
    <col min="1095" max="1095" customWidth="1" width="9.140625"/>
    <col min="1096" max="1096" customWidth="1" width="9.140625"/>
    <col min="1097" max="1097" customWidth="1" width="9.140625"/>
    <col min="1098" max="1098" customWidth="1" width="9.140625"/>
    <col min="1099" max="1099" customWidth="1" width="9.140625"/>
    <col min="1100" max="1100" customWidth="1" width="9.140625"/>
    <col min="1101" max="1101" customWidth="1" width="9.140625"/>
    <col min="1102" max="1102" customWidth="1" width="9.140625"/>
    <col min="1103" max="1103" customWidth="1" width="9.140625"/>
    <col min="1104" max="1104" customWidth="1" width="9.140625"/>
    <col min="1105" max="1105" customWidth="1" width="9.140625"/>
    <col min="1106" max="1106" customWidth="1" width="9.140625"/>
    <col min="1107" max="1107" customWidth="1" width="9.140625"/>
    <col min="1108" max="1108" customWidth="1" width="9.140625"/>
    <col min="1109" max="1109" customWidth="1" width="9.140625"/>
    <col min="1110" max="1110" customWidth="1" width="9.140625"/>
    <col min="1111" max="1111" customWidth="1" width="9.140625"/>
    <col min="1112" max="1112" customWidth="1" width="9.140625"/>
    <col min="1113" max="1113" customWidth="1" width="9.140625"/>
    <col min="1114" max="1114" customWidth="1" width="9.140625"/>
    <col min="1115" max="1115" customWidth="1" width="9.140625"/>
    <col min="1116" max="1116" customWidth="1" width="9.140625"/>
    <col min="1117" max="1117" customWidth="1" width="9.140625"/>
    <col min="1118" max="1118" customWidth="1" width="9.140625"/>
    <col min="1119" max="1119" customWidth="1" width="9.140625"/>
    <col min="1120" max="1120" customWidth="1" width="9.140625"/>
    <col min="1121" max="1121" customWidth="1" width="9.140625"/>
    <col min="1122" max="1122" customWidth="1" width="9.140625"/>
    <col min="1123" max="1123" customWidth="1" width="9.140625"/>
    <col min="1124" max="1124" customWidth="1" width="9.140625"/>
    <col min="1125" max="1125" customWidth="1" width="9.140625"/>
    <col min="1126" max="1126" customWidth="1" width="9.140625"/>
    <col min="1127" max="1127" customWidth="1" width="9.140625"/>
    <col min="1128" max="1128" customWidth="1" width="9.140625"/>
    <col min="1129" max="1129" customWidth="1" width="9.140625"/>
    <col min="1130" max="1130" customWidth="1" width="9.140625"/>
    <col min="1131" max="1131" customWidth="1" width="9.140625"/>
    <col min="1132" max="1132" customWidth="1" width="9.140625"/>
    <col min="1133" max="1133" customWidth="1" width="9.140625"/>
    <col min="1134" max="1134" customWidth="1" width="9.140625"/>
    <col min="1135" max="1135" customWidth="1" width="9.140625"/>
    <col min="1136" max="1136" customWidth="1" width="9.140625"/>
    <col min="1137" max="1137" customWidth="1" width="9.140625"/>
    <col min="1138" max="1138" customWidth="1" width="9.140625"/>
    <col min="1139" max="1139" customWidth="1" width="9.140625"/>
    <col min="1140" max="1140" customWidth="1" width="9.140625"/>
    <col min="1141" max="1141" customWidth="1" width="9.140625"/>
    <col min="1142" max="1142" customWidth="1" width="9.140625"/>
    <col min="1143" max="1143" customWidth="1" width="9.140625"/>
    <col min="1144" max="1144" customWidth="1" width="9.140625"/>
    <col min="1145" max="1145" customWidth="1" width="9.140625"/>
    <col min="1146" max="1146" customWidth="1" width="9.140625"/>
    <col min="1147" max="1147" customWidth="1" width="9.140625"/>
    <col min="1148" max="1148" customWidth="1" width="9.140625"/>
    <col min="1149" max="1149" customWidth="1" width="9.140625"/>
    <col min="1150" max="1150" customWidth="1" width="9.140625"/>
    <col min="1151" max="1151" customWidth="1" width="9.140625"/>
    <col min="1152" max="1152" customWidth="1" width="9.140625"/>
    <col min="1153" max="1153" customWidth="1" width="9.140625"/>
    <col min="1154" max="1154" customWidth="1" width="9.140625"/>
    <col min="1155" max="1155" customWidth="1" width="9.140625"/>
    <col min="1156" max="1156" customWidth="1" width="9.140625"/>
    <col min="1157" max="1157" customWidth="1" width="9.140625"/>
    <col min="1158" max="1158" customWidth="1" width="9.140625"/>
    <col min="1159" max="1159" customWidth="1" width="9.140625"/>
    <col min="1160" max="1160" customWidth="1" width="9.140625"/>
    <col min="1161" max="1161" customWidth="1" width="9.140625"/>
    <col min="1162" max="1162" customWidth="1" width="9.140625"/>
    <col min="1163" max="1163" customWidth="1" width="9.140625"/>
    <col min="1164" max="1164" customWidth="1" width="9.140625"/>
    <col min="1165" max="1165" customWidth="1" width="9.140625"/>
    <col min="1166" max="1166" customWidth="1" width="9.140625"/>
    <col min="1167" max="1167" customWidth="1" width="9.140625"/>
    <col min="1168" max="1168" customWidth="1" width="9.140625"/>
    <col min="1169" max="1169" customWidth="1" width="9.140625"/>
    <col min="1170" max="1170" customWidth="1" width="9.140625"/>
    <col min="1171" max="1171" customWidth="1" width="9.140625"/>
    <col min="1172" max="1172" customWidth="1" width="9.140625"/>
    <col min="1173" max="1173" customWidth="1" width="9.140625"/>
    <col min="1174" max="1174" customWidth="1" width="9.140625"/>
    <col min="1175" max="1175" customWidth="1" width="9.140625"/>
    <col min="1176" max="1176" customWidth="1" width="9.140625"/>
    <col min="1177" max="1177" customWidth="1" width="9.140625"/>
    <col min="1178" max="1178" customWidth="1" width="9.140625"/>
    <col min="1179" max="1179" customWidth="1" width="9.140625"/>
    <col min="1180" max="1180" customWidth="1" width="9.140625"/>
    <col min="1181" max="1181" customWidth="1" width="9.140625"/>
    <col min="1182" max="1182" customWidth="1" width="9.140625"/>
    <col min="1183" max="1183" customWidth="1" width="9.140625"/>
    <col min="1184" max="1184" customWidth="1" width="9.140625"/>
    <col min="1185" max="1185" customWidth="1" width="9.140625"/>
    <col min="1186" max="1186" customWidth="1" width="9.140625"/>
    <col min="1187" max="1187" customWidth="1" width="9.140625"/>
    <col min="1188" max="1188" customWidth="1" width="9.140625"/>
    <col min="1189" max="1189" customWidth="1" width="9.140625"/>
    <col min="1190" max="1190" customWidth="1" width="9.140625"/>
    <col min="1191" max="1191" customWidth="1" width="9.140625"/>
    <col min="1192" max="1192" customWidth="1" width="9.140625"/>
    <col min="1193" max="1193" customWidth="1" width="9.140625"/>
    <col min="1194" max="1194" customWidth="1" width="9.140625"/>
    <col min="1195" max="1195" customWidth="1" width="9.140625"/>
    <col min="1196" max="1196" customWidth="1" width="9.140625"/>
    <col min="1197" max="1197" customWidth="1" width="9.140625"/>
    <col min="1198" max="1198" customWidth="1" width="9.140625"/>
    <col min="1199" max="1199" customWidth="1" width="9.140625"/>
    <col min="1200" max="1200" customWidth="1" width="9.140625"/>
    <col min="1201" max="1201" customWidth="1" width="9.140625"/>
    <col min="1202" max="1202" customWidth="1" width="9.140625"/>
    <col min="1203" max="1203" customWidth="1" width="9.140625"/>
    <col min="1204" max="1204" customWidth="1" width="9.140625"/>
    <col min="1205" max="1205" customWidth="1" width="9.140625"/>
    <col min="1206" max="1206" customWidth="1" width="9.140625"/>
    <col min="1207" max="1207" customWidth="1" width="9.140625"/>
    <col min="1208" max="1208" customWidth="1" width="9.140625"/>
    <col min="1209" max="1209" customWidth="1" width="9.140625"/>
    <col min="1210" max="1210" customWidth="1" width="9.140625"/>
    <col min="1211" max="1211" customWidth="1" width="9.140625"/>
    <col min="1212" max="1212" customWidth="1" width="9.140625"/>
    <col min="1213" max="1213" customWidth="1" width="9.140625"/>
    <col min="1214" max="1214" customWidth="1" width="9.140625"/>
    <col min="1215" max="1215" customWidth="1" width="9.140625"/>
    <col min="1216" max="1216" customWidth="1" width="9.140625"/>
    <col min="1217" max="1217" customWidth="1" width="9.140625"/>
    <col min="1218" max="1218" customWidth="1" width="9.140625"/>
    <col min="1219" max="1219" customWidth="1" width="9.140625"/>
    <col min="1220" max="1220" customWidth="1" width="9.140625"/>
    <col min="1221" max="1221" customWidth="1" width="9.140625"/>
    <col min="1222" max="1222" customWidth="1" width="9.140625"/>
    <col min="1223" max="1223" customWidth="1" width="9.140625"/>
    <col min="1224" max="1224" customWidth="1" width="9.140625"/>
    <col min="1225" max="1225" customWidth="1" width="9.140625"/>
    <col min="1226" max="1226" customWidth="1" width="9.140625"/>
    <col min="1227" max="1227" customWidth="1" width="9.140625"/>
    <col min="1228" max="1228" customWidth="1" width="9.140625"/>
    <col min="1229" max="1229" customWidth="1" width="9.140625"/>
    <col min="1230" max="1230" customWidth="1" width="9.140625"/>
    <col min="1231" max="1231" customWidth="1" width="9.140625"/>
    <col min="1232" max="1232" customWidth="1" width="9.140625"/>
    <col min="1233" max="1233" customWidth="1" width="9.140625"/>
    <col min="1234" max="1234" customWidth="1" width="9.140625"/>
    <col min="1235" max="1235" customWidth="1" width="9.140625"/>
    <col min="1236" max="1236" customWidth="1" width="9.140625"/>
    <col min="1237" max="1237" customWidth="1" width="9.140625"/>
    <col min="1238" max="1238" customWidth="1" width="9.140625"/>
    <col min="1239" max="1239" customWidth="1" width="9.140625"/>
    <col min="1240" max="1240" customWidth="1" width="9.140625"/>
    <col min="1241" max="1241" customWidth="1" width="9.140625"/>
    <col min="1242" max="1242" customWidth="1" width="9.140625"/>
    <col min="1243" max="1243" customWidth="1" width="9.140625"/>
    <col min="1244" max="1244" customWidth="1" width="9.140625"/>
    <col min="1245" max="1245" customWidth="1" width="9.140625"/>
    <col min="1246" max="1246" customWidth="1" width="9.140625"/>
    <col min="1247" max="1247" customWidth="1" width="9.140625"/>
    <col min="1248" max="1248" customWidth="1" width="9.140625"/>
    <col min="1249" max="1249" customWidth="1" width="9.140625"/>
    <col min="1250" max="1250" customWidth="1" width="9.140625"/>
    <col min="1251" max="1251" customWidth="1" width="9.140625"/>
    <col min="1252" max="1252" customWidth="1" width="9.140625"/>
    <col min="1253" max="1253" customWidth="1" width="9.140625"/>
    <col min="1254" max="1254" customWidth="1" width="9.140625"/>
    <col min="1255" max="1255" customWidth="1" width="9.140625"/>
    <col min="1256" max="1256" customWidth="1" width="9.140625"/>
    <col min="1257" max="1257" customWidth="1" width="9.140625"/>
    <col min="1258" max="1258" customWidth="1" width="9.140625"/>
    <col min="1259" max="1259" customWidth="1" width="9.140625"/>
    <col min="1260" max="1260" customWidth="1" width="9.140625"/>
    <col min="1261" max="1261" customWidth="1" width="9.140625"/>
    <col min="1262" max="1262" customWidth="1" width="9.140625"/>
    <col min="1263" max="1263" customWidth="1" width="9.140625"/>
    <col min="1264" max="1264" customWidth="1" width="9.140625"/>
    <col min="1265" max="1265" customWidth="1" width="9.140625"/>
    <col min="1266" max="1266" customWidth="1" width="9.140625"/>
    <col min="1267" max="1267" customWidth="1" width="9.140625"/>
    <col min="1268" max="1268" customWidth="1" width="9.140625"/>
    <col min="1269" max="1269" customWidth="1" width="9.140625"/>
    <col min="1270" max="1270" customWidth="1" width="9.140625"/>
    <col min="1271" max="1271" customWidth="1" width="9.140625"/>
    <col min="1272" max="1272" customWidth="1" width="9.140625"/>
    <col min="1273" max="1273" customWidth="1" width="9.140625"/>
    <col min="1274" max="1274" customWidth="1" width="9.140625"/>
    <col min="1275" max="1275" customWidth="1" width="9.140625"/>
    <col min="1276" max="1276" customWidth="1" width="9.140625"/>
    <col min="1277" max="1277" customWidth="1" width="9.140625"/>
    <col min="1278" max="1278" customWidth="1" width="9.140625"/>
    <col min="1279" max="1279" customWidth="1" width="9.140625"/>
    <col min="1280" max="1280" customWidth="1" width="9.140625"/>
    <col min="1281" max="1281" customWidth="1" width="9.140625"/>
    <col min="1282" max="1282" customWidth="1" width="9.140625"/>
    <col min="1283" max="1283" customWidth="1" width="9.140625"/>
    <col min="1284" max="1284" customWidth="1" width="9.140625"/>
    <col min="1285" max="1285" customWidth="1" width="9.140625"/>
    <col min="1286" max="1286" customWidth="1" width="9.140625"/>
    <col min="1287" max="1287" customWidth="1" width="9.140625"/>
    <col min="1288" max="1288" customWidth="1" width="9.140625"/>
    <col min="1289" max="1289" customWidth="1" width="9.140625"/>
    <col min="1290" max="1290" customWidth="1" width="9.140625"/>
    <col min="1291" max="1291" customWidth="1" width="9.140625"/>
    <col min="1292" max="1292" customWidth="1" width="9.140625"/>
    <col min="1293" max="1293" customWidth="1" width="9.140625"/>
    <col min="1294" max="1294" customWidth="1" width="9.140625"/>
    <col min="1295" max="1295" customWidth="1" width="9.140625"/>
    <col min="1296" max="1296" customWidth="1" width="9.140625"/>
    <col min="1297" max="1297" customWidth="1" width="9.140625"/>
    <col min="1298" max="1298" customWidth="1" width="9.140625"/>
    <col min="1299" max="1299" customWidth="1" width="9.140625"/>
    <col min="1300" max="1300" customWidth="1" width="9.140625"/>
    <col min="1301" max="1301" customWidth="1" width="9.140625"/>
    <col min="1302" max="1302" customWidth="1" width="9.140625"/>
    <col min="1303" max="1303" customWidth="1" width="9.140625"/>
    <col min="1304" max="1304" customWidth="1" width="9.140625"/>
    <col min="1305" max="1305" customWidth="1" width="9.140625"/>
    <col min="1306" max="1306" customWidth="1" width="9.140625"/>
    <col min="1307" max="1307" customWidth="1" width="9.140625"/>
    <col min="1308" max="1308" customWidth="1" width="9.140625"/>
    <col min="1309" max="1309" customWidth="1" width="9.140625"/>
    <col min="1310" max="1310" customWidth="1" width="9.140625"/>
    <col min="1311" max="1311" customWidth="1" width="9.140625"/>
    <col min="1312" max="1312" customWidth="1" width="9.140625"/>
    <col min="1313" max="1313" customWidth="1" width="9.140625"/>
    <col min="1314" max="1314" customWidth="1" width="9.140625"/>
    <col min="1315" max="1315" customWidth="1" width="9.140625"/>
    <col min="1316" max="1316" customWidth="1" width="9.140625"/>
    <col min="1317" max="1317" customWidth="1" width="9.140625"/>
    <col min="1318" max="1318" customWidth="1" width="9.140625"/>
    <col min="1319" max="1319" customWidth="1" width="9.140625"/>
    <col min="1320" max="1320" customWidth="1" width="9.140625"/>
    <col min="1321" max="1321" customWidth="1" width="9.140625"/>
    <col min="1322" max="1322" customWidth="1" width="9.140625"/>
    <col min="1323" max="1323" customWidth="1" width="9.140625"/>
    <col min="1324" max="1324" customWidth="1" width="9.140625"/>
    <col min="1325" max="1325" customWidth="1" width="9.140625"/>
    <col min="1326" max="1326" customWidth="1" width="9.140625"/>
    <col min="1327" max="1327" customWidth="1" width="9.140625"/>
    <col min="1328" max="1328" customWidth="1" width="9.140625"/>
    <col min="1329" max="1329" customWidth="1" width="9.140625"/>
    <col min="1330" max="1330" customWidth="1" width="9.140625"/>
    <col min="1331" max="1331" customWidth="1" width="9.140625"/>
    <col min="1332" max="1332" customWidth="1" width="9.140625"/>
    <col min="1333" max="1333" customWidth="1" width="9.140625"/>
    <col min="1334" max="1334" customWidth="1" width="9.140625"/>
    <col min="1335" max="1335" customWidth="1" width="9.140625"/>
    <col min="1336" max="1336" customWidth="1" width="9.140625"/>
    <col min="1337" max="1337" customWidth="1" width="9.140625"/>
    <col min="1338" max="1338" customWidth="1" width="9.140625"/>
    <col min="1339" max="1339" customWidth="1" width="9.140625"/>
    <col min="1340" max="1340" customWidth="1" width="9.140625"/>
    <col min="1341" max="1341" customWidth="1" width="9.140625"/>
    <col min="1342" max="1342" customWidth="1" width="9.140625"/>
    <col min="1343" max="1343" customWidth="1" width="9.140625"/>
    <col min="1344" max="1344" customWidth="1" width="9.140625"/>
    <col min="1345" max="1345" customWidth="1" width="9.140625"/>
    <col min="1346" max="1346" customWidth="1" width="9.140625"/>
    <col min="1347" max="1347" customWidth="1" width="9.140625"/>
    <col min="1348" max="1348" customWidth="1" width="9.140625"/>
    <col min="1349" max="1349" customWidth="1" width="9.140625"/>
    <col min="1350" max="1350" customWidth="1" width="9.140625"/>
    <col min="1351" max="1351" customWidth="1" width="9.140625"/>
    <col min="1352" max="1352" customWidth="1" width="9.140625"/>
    <col min="1353" max="1353" customWidth="1" width="9.140625"/>
    <col min="1354" max="1354" customWidth="1" width="9.140625"/>
    <col min="1355" max="1355" customWidth="1" width="9.140625"/>
    <col min="1356" max="1356" customWidth="1" width="9.140625"/>
    <col min="1357" max="1357" customWidth="1" width="9.140625"/>
    <col min="1358" max="1358" customWidth="1" width="9.140625"/>
    <col min="1359" max="1359" customWidth="1" width="9.140625"/>
    <col min="1360" max="1360" customWidth="1" width="9.140625"/>
    <col min="1361" max="1361" customWidth="1" width="9.140625"/>
    <col min="1362" max="1362" customWidth="1" width="9.140625"/>
    <col min="1363" max="1363" customWidth="1" width="9.140625"/>
    <col min="1364" max="1364" customWidth="1" width="9.140625"/>
    <col min="1365" max="1365" customWidth="1" width="9.140625"/>
    <col min="1366" max="1366" customWidth="1" width="9.140625"/>
    <col min="1367" max="1367" customWidth="1" width="9.140625"/>
    <col min="1368" max="1368" customWidth="1" width="9.140625"/>
    <col min="1369" max="1369" customWidth="1" width="9.140625"/>
    <col min="1370" max="1370" customWidth="1" width="9.140625"/>
    <col min="1371" max="1371" customWidth="1" width="9.140625"/>
    <col min="1372" max="1372" customWidth="1" width="9.140625"/>
    <col min="1373" max="1373" customWidth="1" width="9.140625"/>
    <col min="1374" max="1374" customWidth="1" width="9.140625"/>
    <col min="1375" max="1375" customWidth="1" width="9.140625"/>
    <col min="1376" max="1376" customWidth="1" width="9.140625"/>
    <col min="1377" max="1377" customWidth="1" width="9.140625"/>
    <col min="1378" max="1378" customWidth="1" width="9.140625"/>
    <col min="1379" max="1379" customWidth="1" width="9.140625"/>
    <col min="1380" max="1380" customWidth="1" width="9.140625"/>
    <col min="1381" max="1381" customWidth="1" width="9.140625"/>
    <col min="1382" max="1382" customWidth="1" width="9.140625"/>
    <col min="1383" max="1383" customWidth="1" width="9.140625"/>
    <col min="1384" max="1384" customWidth="1" width="9.140625"/>
    <col min="1385" max="1385" customWidth="1" width="9.140625"/>
    <col min="1386" max="1386" customWidth="1" width="9.140625"/>
    <col min="1387" max="1387" customWidth="1" width="9.140625"/>
    <col min="1388" max="1388" customWidth="1" width="9.140625"/>
    <col min="1389" max="1389" customWidth="1" width="9.140625"/>
    <col min="1390" max="1390" customWidth="1" width="9.140625"/>
    <col min="1391" max="1391" customWidth="1" width="9.140625"/>
    <col min="1392" max="1392" customWidth="1" width="9.140625"/>
    <col min="1393" max="1393" customWidth="1" width="9.140625"/>
    <col min="1394" max="1394" customWidth="1" width="9.140625"/>
    <col min="1395" max="1395" customWidth="1" width="9.140625"/>
    <col min="1396" max="1396" customWidth="1" width="9.140625"/>
    <col min="1397" max="1397" customWidth="1" width="9.140625"/>
    <col min="1398" max="1398" customWidth="1" width="9.140625"/>
    <col min="1399" max="1399" customWidth="1" width="9.140625"/>
    <col min="1400" max="1400" customWidth="1" width="9.140625"/>
    <col min="1401" max="1401" customWidth="1" width="9.140625"/>
    <col min="1402" max="1402" customWidth="1" width="9.140625"/>
    <col min="1403" max="1403" customWidth="1" width="9.140625"/>
    <col min="1404" max="1404" customWidth="1" width="9.140625"/>
    <col min="1405" max="1405" customWidth="1" width="9.140625"/>
    <col min="1406" max="1406" customWidth="1" width="9.140625"/>
    <col min="1407" max="1407" customWidth="1" width="9.140625"/>
    <col min="1408" max="1408" customWidth="1" width="9.140625"/>
    <col min="1409" max="1409" customWidth="1" width="9.140625"/>
    <col min="1410" max="1410" customWidth="1" width="9.140625"/>
    <col min="1411" max="1411" customWidth="1" width="9.140625"/>
    <col min="1412" max="1412" customWidth="1" width="9.140625"/>
    <col min="1413" max="1413" customWidth="1" width="9.140625"/>
    <col min="1414" max="1414" customWidth="1" width="9.140625"/>
    <col min="1415" max="1415" customWidth="1" width="9.140625"/>
    <col min="1416" max="1416" customWidth="1" width="9.140625"/>
    <col min="1417" max="1417" customWidth="1" width="9.140625"/>
    <col min="1418" max="1418" customWidth="1" width="9.140625"/>
    <col min="1419" max="1419" customWidth="1" width="9.140625"/>
    <col min="1420" max="1420" customWidth="1" width="9.140625"/>
    <col min="1421" max="1421" customWidth="1" width="9.140625"/>
    <col min="1422" max="1422" customWidth="1" width="9.140625"/>
    <col min="1423" max="1423" customWidth="1" width="9.140625"/>
    <col min="1424" max="1424" customWidth="1" width="9.140625"/>
    <col min="1425" max="1425" customWidth="1" width="9.140625"/>
    <col min="1426" max="1426" customWidth="1" width="9.140625"/>
    <col min="1427" max="1427" customWidth="1" width="9.140625"/>
    <col min="1428" max="1428" customWidth="1" width="9.140625"/>
    <col min="1429" max="1429" customWidth="1" width="9.140625"/>
    <col min="1430" max="1430" customWidth="1" width="9.140625"/>
    <col min="1431" max="1431" customWidth="1" width="9.140625"/>
    <col min="1432" max="1432" customWidth="1" width="9.140625"/>
    <col min="1433" max="1433" customWidth="1" width="9.140625"/>
    <col min="1434" max="1434" customWidth="1" width="9.140625"/>
    <col min="1435" max="1435" customWidth="1" width="9.140625"/>
    <col min="1436" max="1436" customWidth="1" width="9.140625"/>
    <col min="1437" max="1437" customWidth="1" width="9.140625"/>
    <col min="1438" max="1438" customWidth="1" width="9.140625"/>
    <col min="1439" max="1439" customWidth="1" width="9.140625"/>
    <col min="1440" max="1440" customWidth="1" width="9.140625"/>
    <col min="1441" max="1441" customWidth="1" width="9.140625"/>
    <col min="1442" max="1442" customWidth="1" width="9.140625"/>
    <col min="1443" max="1443" customWidth="1" width="9.140625"/>
    <col min="1444" max="1444" customWidth="1" width="9.140625"/>
    <col min="1445" max="1445" customWidth="1" width="9.140625"/>
    <col min="1446" max="1446" customWidth="1" width="9.140625"/>
    <col min="1447" max="1447" customWidth="1" width="9.140625"/>
    <col min="1448" max="1448" customWidth="1" width="9.140625"/>
    <col min="1449" max="1449" customWidth="1" width="9.140625"/>
    <col min="1450" max="1450" customWidth="1" width="9.140625"/>
    <col min="1451" max="1451" customWidth="1" width="9.140625"/>
    <col min="1452" max="1452" customWidth="1" width="9.140625"/>
    <col min="1453" max="1453" customWidth="1" width="9.140625"/>
    <col min="1454" max="1454" customWidth="1" width="9.140625"/>
    <col min="1455" max="1455" customWidth="1" width="9.140625"/>
    <col min="1456" max="1456" customWidth="1" width="9.140625"/>
    <col min="1457" max="1457" customWidth="1" width="9.140625"/>
    <col min="1458" max="1458" customWidth="1" width="9.140625"/>
    <col min="1459" max="1459" customWidth="1" width="9.140625"/>
    <col min="1460" max="1460" customWidth="1" width="9.140625"/>
    <col min="1461" max="1461" customWidth="1" width="9.140625"/>
    <col min="1462" max="1462" customWidth="1" width="9.140625"/>
    <col min="1463" max="1463" customWidth="1" width="9.140625"/>
    <col min="1464" max="1464" customWidth="1" width="9.140625"/>
    <col min="1465" max="1465" customWidth="1" width="9.140625"/>
    <col min="1466" max="1466" customWidth="1" width="9.140625"/>
    <col min="1467" max="1467" customWidth="1" width="9.140625"/>
    <col min="1468" max="1468" customWidth="1" width="9.140625"/>
    <col min="1469" max="1469" customWidth="1" width="9.140625"/>
    <col min="1470" max="1470" customWidth="1" width="9.140625"/>
    <col min="1471" max="1471" customWidth="1" width="9.140625"/>
    <col min="1472" max="1472" customWidth="1" width="9.140625"/>
    <col min="1473" max="1473" customWidth="1" width="9.140625"/>
    <col min="1474" max="1474" customWidth="1" width="9.140625"/>
    <col min="1475" max="1475" customWidth="1" width="9.140625"/>
    <col min="1476" max="1476" customWidth="1" width="9.140625"/>
    <col min="1477" max="1477" customWidth="1" width="9.140625"/>
    <col min="1478" max="1478" customWidth="1" width="9.140625"/>
    <col min="1479" max="1479" customWidth="1" width="9.140625"/>
    <col min="1480" max="1480" customWidth="1" width="9.140625"/>
    <col min="1481" max="1481" customWidth="1" width="9.140625"/>
    <col min="1482" max="1482" customWidth="1" width="9.140625"/>
    <col min="1483" max="1483" customWidth="1" width="9.140625"/>
    <col min="1484" max="1484" customWidth="1" width="9.140625"/>
    <col min="1485" max="1485" customWidth="1" width="9.140625"/>
    <col min="1486" max="1486" customWidth="1" width="9.140625"/>
    <col min="1487" max="1487" customWidth="1" width="9.140625"/>
    <col min="1488" max="1488" customWidth="1" width="9.140625"/>
    <col min="1489" max="1489" customWidth="1" width="9.140625"/>
    <col min="1490" max="1490" customWidth="1" width="9.140625"/>
    <col min="1491" max="1491" customWidth="1" width="9.140625"/>
    <col min="1492" max="1492" customWidth="1" width="9.140625"/>
    <col min="1493" max="1493" customWidth="1" width="9.140625"/>
    <col min="1494" max="1494" customWidth="1" width="9.140625"/>
    <col min="1495" max="1495" customWidth="1" width="9.140625"/>
    <col min="1496" max="1496" customWidth="1" width="9.140625"/>
    <col min="1497" max="1497" customWidth="1" width="9.140625"/>
    <col min="1498" max="1498" customWidth="1" width="9.140625"/>
    <col min="1499" max="1499" customWidth="1" width="9.140625"/>
    <col min="1500" max="1500" customWidth="1" width="9.140625"/>
    <col min="1501" max="1501" customWidth="1" width="9.140625"/>
    <col min="1502" max="1502" customWidth="1" width="9.140625"/>
    <col min="1503" max="1503" customWidth="1" width="9.140625"/>
    <col min="1504" max="1504" customWidth="1" width="9.140625"/>
    <col min="1505" max="1505" customWidth="1" width="9.140625"/>
    <col min="1506" max="1506" customWidth="1" width="9.140625"/>
    <col min="1507" max="1507" customWidth="1" width="9.140625"/>
    <col min="1508" max="1508" customWidth="1" width="9.140625"/>
    <col min="1509" max="1509" customWidth="1" width="9.140625"/>
    <col min="1510" max="1510" customWidth="1" width="9.140625"/>
    <col min="1511" max="1511" customWidth="1" width="9.140625"/>
    <col min="1512" max="1512" customWidth="1" width="9.140625"/>
    <col min="1513" max="1513" customWidth="1" width="9.140625"/>
    <col min="1514" max="1514" customWidth="1" width="9.140625"/>
    <col min="1515" max="1515" customWidth="1" width="9.140625"/>
    <col min="1516" max="1516" customWidth="1" width="9.140625"/>
    <col min="1517" max="1517" customWidth="1" width="9.140625"/>
    <col min="1518" max="1518" customWidth="1" width="9.140625"/>
    <col min="1519" max="1519" customWidth="1" width="9.140625"/>
    <col min="1520" max="1520" customWidth="1" width="9.140625"/>
    <col min="1521" max="1521" customWidth="1" width="9.140625"/>
    <col min="1522" max="1522" customWidth="1" width="9.140625"/>
    <col min="1523" max="1523" customWidth="1" width="9.140625"/>
    <col min="1524" max="1524" customWidth="1" width="9.140625"/>
    <col min="1525" max="1525" customWidth="1" width="9.140625"/>
    <col min="1526" max="1526" customWidth="1" width="9.140625"/>
    <col min="1527" max="1527" customWidth="1" width="9.140625"/>
    <col min="1528" max="1528" customWidth="1" width="9.140625"/>
    <col min="1529" max="1529" customWidth="1" width="9.140625"/>
    <col min="1530" max="1530" customWidth="1" width="9.140625"/>
    <col min="1531" max="1531" customWidth="1" width="9.140625"/>
    <col min="1532" max="1532" customWidth="1" width="9.140625"/>
    <col min="1533" max="1533" customWidth="1" width="9.140625"/>
    <col min="1534" max="1534" customWidth="1" width="9.140625"/>
    <col min="1535" max="1535" customWidth="1" width="9.140625"/>
    <col min="1536" max="1536" customWidth="1" width="9.140625"/>
    <col min="1537" max="1537" customWidth="1" width="9.140625"/>
    <col min="1538" max="1538" customWidth="1" width="9.140625"/>
    <col min="1539" max="1539" customWidth="1" width="9.140625"/>
    <col min="1540" max="1540" customWidth="1" width="9.140625"/>
    <col min="1541" max="1541" customWidth="1" width="9.140625"/>
    <col min="1542" max="1542" customWidth="1" width="9.140625"/>
    <col min="1543" max="1543" customWidth="1" width="9.140625"/>
    <col min="1544" max="1544" customWidth="1" width="9.140625"/>
    <col min="1545" max="1545" customWidth="1" width="9.140625"/>
    <col min="1546" max="1546" customWidth="1" width="9.140625"/>
    <col min="1547" max="1547" customWidth="1" width="9.140625"/>
    <col min="1548" max="1548" customWidth="1" width="9.140625"/>
    <col min="1549" max="1549" customWidth="1" width="9.140625"/>
    <col min="1550" max="1550" customWidth="1" width="9.140625"/>
    <col min="1551" max="1551" customWidth="1" width="9.140625"/>
    <col min="1552" max="1552" customWidth="1" width="9.140625"/>
    <col min="1553" max="1553" customWidth="1" width="9.140625"/>
    <col min="1554" max="1554" customWidth="1" width="9.140625"/>
    <col min="1555" max="1555" customWidth="1" width="9.140625"/>
    <col min="1556" max="1556" customWidth="1" width="9.140625"/>
    <col min="1557" max="1557" customWidth="1" width="9.140625"/>
    <col min="1558" max="1558" customWidth="1" width="9.140625"/>
    <col min="1559" max="1559" customWidth="1" width="9.140625"/>
    <col min="1560" max="1560" customWidth="1" width="9.140625"/>
    <col min="1561" max="1561" customWidth="1" width="9.140625"/>
    <col min="1562" max="1562" customWidth="1" width="9.140625"/>
    <col min="1563" max="1563" customWidth="1" width="9.140625"/>
    <col min="1564" max="1564" customWidth="1" width="9.140625"/>
    <col min="1565" max="1565" customWidth="1" width="9.140625"/>
    <col min="1566" max="1566" customWidth="1" width="9.140625"/>
    <col min="1567" max="1567" customWidth="1" width="9.140625"/>
    <col min="1568" max="1568" customWidth="1" width="9.140625"/>
    <col min="1569" max="1569" customWidth="1" width="9.140625"/>
    <col min="1570" max="1570" customWidth="1" width="9.140625"/>
    <col min="1571" max="1571" customWidth="1" width="9.140625"/>
    <col min="1572" max="1572" customWidth="1" width="9.140625"/>
    <col min="1573" max="1573" customWidth="1" width="9.140625"/>
    <col min="1574" max="1574" customWidth="1" width="9.140625"/>
    <col min="1575" max="1575" customWidth="1" width="9.140625"/>
    <col min="1576" max="1576" customWidth="1" width="9.140625"/>
    <col min="1577" max="1577" customWidth="1" width="9.140625"/>
    <col min="1578" max="1578" customWidth="1" width="9.140625"/>
    <col min="1579" max="1579" customWidth="1" width="9.140625"/>
    <col min="1580" max="1580" customWidth="1" width="9.140625"/>
    <col min="1581" max="1581" customWidth="1" width="9.140625"/>
    <col min="1582" max="1582" customWidth="1" width="9.140625"/>
    <col min="1583" max="1583" customWidth="1" width="9.140625"/>
    <col min="1584" max="1584" customWidth="1" width="9.140625"/>
    <col min="1585" max="1585" customWidth="1" width="9.140625"/>
    <col min="1586" max="1586" customWidth="1" width="9.140625"/>
    <col min="1587" max="1587" customWidth="1" width="9.140625"/>
    <col min="1588" max="1588" customWidth="1" width="9.140625"/>
    <col min="1589" max="1589" customWidth="1" width="9.140625"/>
    <col min="1590" max="1590" customWidth="1" width="9.140625"/>
    <col min="1591" max="1591" customWidth="1" width="9.140625"/>
    <col min="1592" max="1592" customWidth="1" width="9.140625"/>
    <col min="1593" max="1593" customWidth="1" width="9.140625"/>
    <col min="1594" max="1594" customWidth="1" width="9.140625"/>
    <col min="1595" max="1595" customWidth="1" width="9.140625"/>
    <col min="1596" max="1596" customWidth="1" width="9.140625"/>
    <col min="1597" max="1597" customWidth="1" width="9.140625"/>
    <col min="1598" max="1598" customWidth="1" width="9.140625"/>
    <col min="1599" max="1599" customWidth="1" width="9.140625"/>
    <col min="1600" max="1600" customWidth="1" width="9.140625"/>
    <col min="1601" max="1601" customWidth="1" width="9.140625"/>
    <col min="1602" max="1602" customWidth="1" width="9.140625"/>
    <col min="1603" max="1603" customWidth="1" width="9.140625"/>
    <col min="1604" max="1604" customWidth="1" width="9.140625"/>
    <col min="1605" max="1605" customWidth="1" width="9.140625"/>
    <col min="1606" max="1606" customWidth="1" width="9.140625"/>
    <col min="1607" max="1607" customWidth="1" width="9.140625"/>
    <col min="1608" max="1608" customWidth="1" width="9.140625"/>
    <col min="1609" max="1609" customWidth="1" width="9.140625"/>
    <col min="1610" max="1610" customWidth="1" width="9.140625"/>
    <col min="1611" max="1611" customWidth="1" width="9.140625"/>
    <col min="1612" max="1612" customWidth="1" width="9.140625"/>
    <col min="1613" max="1613" customWidth="1" width="9.140625"/>
    <col min="1614" max="1614" customWidth="1" width="9.140625"/>
    <col min="1615" max="1615" customWidth="1" width="9.140625"/>
    <col min="1616" max="1616" customWidth="1" width="9.140625"/>
    <col min="1617" max="1617" customWidth="1" width="9.140625"/>
    <col min="1618" max="1618" customWidth="1" width="9.140625"/>
    <col min="1619" max="1619" customWidth="1" width="9.140625"/>
    <col min="1620" max="1620" customWidth="1" width="9.140625"/>
    <col min="1621" max="1621" customWidth="1" width="9.140625"/>
    <col min="1622" max="1622" customWidth="1" width="9.140625"/>
    <col min="1623" max="1623" customWidth="1" width="9.140625"/>
    <col min="1624" max="1624" customWidth="1" width="9.140625"/>
    <col min="1625" max="1625" customWidth="1" width="9.140625"/>
    <col min="1626" max="1626" customWidth="1" width="9.140625"/>
    <col min="1627" max="1627" customWidth="1" width="9.140625"/>
    <col min="1628" max="1628" customWidth="1" width="9.140625"/>
    <col min="1629" max="1629" customWidth="1" width="9.140625"/>
    <col min="1630" max="1630" customWidth="1" width="9.140625"/>
    <col min="1631" max="1631" customWidth="1" width="9.140625"/>
    <col min="1632" max="1632" customWidth="1" width="9.140625"/>
    <col min="1633" max="1633" customWidth="1" width="9.140625"/>
    <col min="1634" max="1634" customWidth="1" width="9.140625"/>
    <col min="1635" max="1635" customWidth="1" width="9.140625"/>
    <col min="1636" max="1636" customWidth="1" width="9.140625"/>
    <col min="1637" max="1637" customWidth="1" width="9.140625"/>
    <col min="1638" max="1638" customWidth="1" width="9.140625"/>
    <col min="1639" max="1639" customWidth="1" width="9.140625"/>
    <col min="1640" max="1640" customWidth="1" width="9.140625"/>
    <col min="1641" max="1641" customWidth="1" width="9.140625"/>
    <col min="1642" max="1642" customWidth="1" width="9.140625"/>
    <col min="1643" max="1643" customWidth="1" width="9.140625"/>
    <col min="1644" max="1644" customWidth="1" width="9.140625"/>
    <col min="1645" max="1645" customWidth="1" width="9.140625"/>
    <col min="1646" max="1646" customWidth="1" width="9.140625"/>
    <col min="1647" max="1647" customWidth="1" width="9.140625"/>
    <col min="1648" max="1648" customWidth="1" width="9.140625"/>
    <col min="1649" max="1649" customWidth="1" width="9.140625"/>
    <col min="1650" max="1650" customWidth="1" width="9.140625"/>
    <col min="1651" max="1651" customWidth="1" width="9.140625"/>
    <col min="1652" max="1652" customWidth="1" width="9.140625"/>
    <col min="1653" max="1653" customWidth="1" width="9.140625"/>
    <col min="1654" max="1654" customWidth="1" width="9.140625"/>
    <col min="1655" max="1655" customWidth="1" width="9.140625"/>
    <col min="1656" max="1656" customWidth="1" width="9.140625"/>
    <col min="1657" max="1657" customWidth="1" width="9.140625"/>
    <col min="1658" max="1658" customWidth="1" width="9.140625"/>
    <col min="1659" max="1659" customWidth="1" width="9.140625"/>
    <col min="1660" max="1660" customWidth="1" width="9.140625"/>
    <col min="1661" max="1661" customWidth="1" width="9.140625"/>
    <col min="1662" max="1662" customWidth="1" width="9.140625"/>
    <col min="1663" max="1663" customWidth="1" width="9.140625"/>
    <col min="1664" max="1664" customWidth="1" width="9.140625"/>
    <col min="1665" max="1665" customWidth="1" width="9.140625"/>
    <col min="1666" max="1666" customWidth="1" width="9.140625"/>
    <col min="1667" max="1667" customWidth="1" width="9.140625"/>
    <col min="1668" max="1668" customWidth="1" width="9.140625"/>
    <col min="1669" max="1669" customWidth="1" width="9.140625"/>
    <col min="1670" max="1670" customWidth="1" width="9.140625"/>
    <col min="1671" max="1671" customWidth="1" width="9.140625"/>
    <col min="1672" max="1672" customWidth="1" width="9.140625"/>
    <col min="1673" max="1673" customWidth="1" width="9.140625"/>
    <col min="1674" max="1674" customWidth="1" width="9.140625"/>
    <col min="1675" max="1675" customWidth="1" width="9.140625"/>
    <col min="1676" max="1676" customWidth="1" width="9.140625"/>
    <col min="1677" max="1677" customWidth="1" width="9.140625"/>
    <col min="1678" max="1678" customWidth="1" width="9.140625"/>
    <col min="1679" max="1679" customWidth="1" width="9.140625"/>
    <col min="1680" max="1680" customWidth="1" width="9.140625"/>
    <col min="1681" max="1681" customWidth="1" width="9.140625"/>
    <col min="1682" max="1682" customWidth="1" width="9.140625"/>
    <col min="1683" max="1683" customWidth="1" width="9.140625"/>
    <col min="1684" max="1684" customWidth="1" width="9.140625"/>
    <col min="1685" max="1685" customWidth="1" width="9.140625"/>
    <col min="1686" max="1686" customWidth="1" width="9.140625"/>
    <col min="1687" max="1687" customWidth="1" width="9.140625"/>
    <col min="1688" max="1688" customWidth="1" width="9.140625"/>
    <col min="1689" max="1689" customWidth="1" width="9.140625"/>
    <col min="1690" max="1690" customWidth="1" width="9.140625"/>
    <col min="1691" max="1691" customWidth="1" width="9.140625"/>
    <col min="1692" max="1692" customWidth="1" width="9.140625"/>
    <col min="1693" max="1693" customWidth="1" width="9.140625"/>
    <col min="1694" max="1694" customWidth="1" width="9.140625"/>
    <col min="1695" max="1695" customWidth="1" width="9.140625"/>
    <col min="1696" max="1696" customWidth="1" width="9.140625"/>
    <col min="1697" max="1697" customWidth="1" width="9.140625"/>
    <col min="1698" max="1698" customWidth="1" width="9.140625"/>
    <col min="1699" max="1699" customWidth="1" width="9.140625"/>
    <col min="1700" max="1700" customWidth="1" width="9.140625"/>
    <col min="1701" max="1701" customWidth="1" width="9.140625"/>
    <col min="1702" max="1702" customWidth="1" width="9.140625"/>
    <col min="1703" max="1703" customWidth="1" width="9.140625"/>
    <col min="1704" max="1704" customWidth="1" width="9.140625"/>
    <col min="1705" max="1705" customWidth="1" width="9.140625"/>
    <col min="1706" max="1706" customWidth="1" width="9.140625"/>
    <col min="1707" max="1707" customWidth="1" width="9.140625"/>
    <col min="1708" max="1708" customWidth="1" width="9.140625"/>
    <col min="1709" max="1709" customWidth="1" width="9.140625"/>
    <col min="1710" max="1710" customWidth="1" width="9.140625"/>
    <col min="1711" max="1711" customWidth="1" width="9.140625"/>
    <col min="1712" max="1712" customWidth="1" width="9.140625"/>
    <col min="1713" max="1713" customWidth="1" width="9.140625"/>
    <col min="1714" max="1714" customWidth="1" width="9.140625"/>
    <col min="1715" max="1715" customWidth="1" width="9.140625"/>
    <col min="1716" max="1716" customWidth="1" width="9.140625"/>
    <col min="1717" max="1717" customWidth="1" width="9.140625"/>
    <col min="1718" max="1718" customWidth="1" width="9.140625"/>
    <col min="1719" max="1719" customWidth="1" width="9.140625"/>
    <col min="1720" max="1720" customWidth="1" width="9.140625"/>
    <col min="1721" max="1721" customWidth="1" width="9.140625"/>
    <col min="1722" max="1722" customWidth="1" width="9.140625"/>
    <col min="1723" max="1723" customWidth="1" width="9.140625"/>
    <col min="1724" max="1724" customWidth="1" width="9.140625"/>
    <col min="1725" max="1725" customWidth="1" width="9.140625"/>
    <col min="1726" max="1726" customWidth="1" width="9.140625"/>
    <col min="1727" max="1727" customWidth="1" width="9.140625"/>
    <col min="1728" max="1728" customWidth="1" width="9.140625"/>
    <col min="1729" max="1729" customWidth="1" width="9.140625"/>
    <col min="1730" max="1730" customWidth="1" width="9.140625"/>
    <col min="1731" max="1731" customWidth="1" width="9.140625"/>
    <col min="1732" max="1732" customWidth="1" width="9.140625"/>
    <col min="1733" max="1733" customWidth="1" width="9.140625"/>
    <col min="1734" max="1734" customWidth="1" width="9.140625"/>
    <col min="1735" max="1735" customWidth="1" width="9.140625"/>
    <col min="1736" max="1736" customWidth="1" width="9.140625"/>
    <col min="1737" max="1737" customWidth="1" width="9.140625"/>
    <col min="1738" max="1738" customWidth="1" width="9.140625"/>
    <col min="1739" max="1739" customWidth="1" width="9.140625"/>
    <col min="1740" max="1740" customWidth="1" width="9.140625"/>
    <col min="1741" max="1741" customWidth="1" width="9.140625"/>
    <col min="1742" max="1742" customWidth="1" width="9.140625"/>
    <col min="1743" max="1743" customWidth="1" width="9.140625"/>
    <col min="1744" max="1744" customWidth="1" width="9.140625"/>
    <col min="1745" max="1745" customWidth="1" width="9.140625"/>
    <col min="1746" max="1746" customWidth="1" width="9.140625"/>
    <col min="1747" max="1747" customWidth="1" width="9.140625"/>
    <col min="1748" max="1748" customWidth="1" width="9.140625"/>
    <col min="1749" max="1749" customWidth="1" width="9.140625"/>
    <col min="1750" max="1750" customWidth="1" width="9.140625"/>
    <col min="1751" max="1751" customWidth="1" width="9.140625"/>
    <col min="1752" max="1752" customWidth="1" width="9.140625"/>
    <col min="1753" max="1753" customWidth="1" width="9.140625"/>
    <col min="1754" max="1754" customWidth="1" width="9.140625"/>
    <col min="1755" max="1755" customWidth="1" width="9.140625"/>
    <col min="1756" max="1756" customWidth="1" width="9.140625"/>
    <col min="1757" max="1757" customWidth="1" width="9.140625"/>
    <col min="1758" max="1758" customWidth="1" width="9.140625"/>
    <col min="1759" max="1759" customWidth="1" width="9.140625"/>
    <col min="1760" max="1760" customWidth="1" width="9.140625"/>
    <col min="1761" max="1761" customWidth="1" width="9.140625"/>
    <col min="1762" max="1762" customWidth="1" width="9.140625"/>
    <col min="1763" max="1763" customWidth="1" width="9.140625"/>
    <col min="1764" max="1764" customWidth="1" width="9.140625"/>
    <col min="1765" max="1765" customWidth="1" width="9.140625"/>
    <col min="1766" max="1766" customWidth="1" width="9.140625"/>
    <col min="1767" max="1767" customWidth="1" width="9.140625"/>
    <col min="1768" max="1768" customWidth="1" width="9.140625"/>
    <col min="1769" max="1769" customWidth="1" width="9.140625"/>
    <col min="1770" max="1770" customWidth="1" width="9.140625"/>
    <col min="1771" max="1771" customWidth="1" width="9.140625"/>
    <col min="1772" max="1772" customWidth="1" width="9.140625"/>
    <col min="1773" max="1773" customWidth="1" width="9.140625"/>
    <col min="1774" max="1774" customWidth="1" width="9.140625"/>
    <col min="1775" max="1775" customWidth="1" width="9.140625"/>
    <col min="1776" max="1776" customWidth="1" width="9.140625"/>
    <col min="1777" max="1777" customWidth="1" width="9.140625"/>
    <col min="1778" max="1778" customWidth="1" width="9.140625"/>
    <col min="1779" max="1779" customWidth="1" width="9.140625"/>
    <col min="1780" max="1780" customWidth="1" width="9.140625"/>
    <col min="1781" max="1781" customWidth="1" width="9.140625"/>
    <col min="1782" max="1782" customWidth="1" width="9.140625"/>
    <col min="1783" max="1783" customWidth="1" width="9.140625"/>
    <col min="1784" max="1784" customWidth="1" width="9.140625"/>
    <col min="1785" max="1785" customWidth="1" width="9.140625"/>
    <col min="1786" max="1786" customWidth="1" width="9.140625"/>
    <col min="1787" max="1787" customWidth="1" width="9.140625"/>
    <col min="1788" max="1788" customWidth="1" width="9.140625"/>
    <col min="1789" max="1789" customWidth="1" width="9.140625"/>
    <col min="1790" max="1790" customWidth="1" width="9.140625"/>
    <col min="1791" max="1791" customWidth="1" width="9.140625"/>
    <col min="1792" max="1792" customWidth="1" width="9.140625"/>
    <col min="1793" max="1793" customWidth="1" width="9.140625"/>
    <col min="1794" max="1794" customWidth="1" width="9.140625"/>
    <col min="1795" max="1795" customWidth="1" width="9.140625"/>
    <col min="1796" max="1796" customWidth="1" width="9.140625"/>
    <col min="1797" max="1797" customWidth="1" width="9.140625"/>
    <col min="1798" max="1798" customWidth="1" width="9.140625"/>
    <col min="1799" max="1799" customWidth="1" width="9.140625"/>
    <col min="1800" max="1800" customWidth="1" width="9.140625"/>
    <col min="1801" max="1801" customWidth="1" width="9.140625"/>
    <col min="1802" max="1802" customWidth="1" width="9.140625"/>
    <col min="1803" max="1803" customWidth="1" width="9.140625"/>
    <col min="1804" max="1804" customWidth="1" width="9.140625"/>
    <col min="1805" max="1805" customWidth="1" width="9.140625"/>
    <col min="1806" max="1806" customWidth="1" width="9.140625"/>
    <col min="1807" max="1807" customWidth="1" width="9.140625"/>
    <col min="1808" max="1808" customWidth="1" width="9.140625"/>
    <col min="1809" max="1809" customWidth="1" width="9.140625"/>
    <col min="1810" max="1810" customWidth="1" width="9.140625"/>
    <col min="1811" max="1811" customWidth="1" width="9.140625"/>
    <col min="1812" max="1812" customWidth="1" width="9.140625"/>
    <col min="1813" max="1813" customWidth="1" width="9.140625"/>
    <col min="1814" max="1814" customWidth="1" width="9.140625"/>
    <col min="1815" max="1815" customWidth="1" width="9.140625"/>
    <col min="1816" max="1816" customWidth="1" width="9.140625"/>
    <col min="1817" max="1817" customWidth="1" width="9.140625"/>
    <col min="1818" max="1818" customWidth="1" width="9.140625"/>
    <col min="1819" max="1819" customWidth="1" width="9.140625"/>
    <col min="1820" max="1820" customWidth="1" width="9.140625"/>
    <col min="1821" max="1821" customWidth="1" width="9.140625"/>
    <col min="1822" max="1822" customWidth="1" width="9.140625"/>
    <col min="1823" max="1823" customWidth="1" width="9.140625"/>
    <col min="1824" max="1824" customWidth="1" width="9.140625"/>
    <col min="1825" max="1825" customWidth="1" width="9.140625"/>
    <col min="1826" max="1826" customWidth="1" width="9.140625"/>
    <col min="1827" max="1827" customWidth="1" width="9.140625"/>
    <col min="1828" max="1828" customWidth="1" width="9.140625"/>
    <col min="1829" max="1829" customWidth="1" width="9.140625"/>
    <col min="1830" max="1830" customWidth="1" width="9.140625"/>
    <col min="1831" max="1831" customWidth="1" width="9.140625"/>
    <col min="1832" max="1832" customWidth="1" width="9.140625"/>
    <col min="1833" max="1833" customWidth="1" width="9.140625"/>
    <col min="1834" max="1834" customWidth="1" width="9.140625"/>
    <col min="1835" max="1835" customWidth="1" width="9.140625"/>
    <col min="1836" max="1836" customWidth="1" width="9.140625"/>
    <col min="1837" max="1837" customWidth="1" width="9.140625"/>
    <col min="1838" max="1838" customWidth="1" width="9.140625"/>
    <col min="1839" max="1839" customWidth="1" width="9.140625"/>
    <col min="1840" max="1840" customWidth="1" width="9.140625"/>
    <col min="1841" max="1841" customWidth="1" width="9.140625"/>
    <col min="1842" max="1842" customWidth="1" width="9.140625"/>
    <col min="1843" max="1843" customWidth="1" width="9.140625"/>
    <col min="1844" max="1844" customWidth="1" width="9.140625"/>
    <col min="1845" max="1845" customWidth="1" width="9.140625"/>
    <col min="1846" max="1846" customWidth="1" width="9.140625"/>
    <col min="1847" max="1847" customWidth="1" width="9.140625"/>
    <col min="1848" max="1848" customWidth="1" width="9.140625"/>
    <col min="1849" max="1849" customWidth="1" width="9.140625"/>
    <col min="1850" max="1850" customWidth="1" width="9.140625"/>
    <col min="1851" max="1851" customWidth="1" width="9.140625"/>
    <col min="1852" max="1852" customWidth="1" width="9.140625"/>
    <col min="1853" max="1853" customWidth="1" width="9.140625"/>
    <col min="1854" max="1854" customWidth="1" width="9.140625"/>
    <col min="1855" max="1855" customWidth="1" width="9.140625"/>
    <col min="1856" max="1856" customWidth="1" width="9.140625"/>
    <col min="1857" max="1857" customWidth="1" width="9.140625"/>
    <col min="1858" max="1858" customWidth="1" width="9.140625"/>
    <col min="1859" max="1859" customWidth="1" width="9.140625"/>
    <col min="1860" max="1860" customWidth="1" width="9.140625"/>
    <col min="1861" max="1861" customWidth="1" width="9.140625"/>
    <col min="1862" max="1862" customWidth="1" width="9.140625"/>
    <col min="1863" max="1863" customWidth="1" width="9.140625"/>
    <col min="1864" max="1864" customWidth="1" width="9.140625"/>
    <col min="1865" max="1865" customWidth="1" width="9.140625"/>
    <col min="1866" max="1866" customWidth="1" width="9.140625"/>
    <col min="1867" max="1867" customWidth="1" width="9.140625"/>
    <col min="1868" max="1868" customWidth="1" width="9.140625"/>
    <col min="1869" max="1869" customWidth="1" width="9.140625"/>
    <col min="1870" max="1870" customWidth="1" width="9.140625"/>
    <col min="1871" max="1871" customWidth="1" width="9.140625"/>
    <col min="1872" max="1872" customWidth="1" width="9.140625"/>
    <col min="1873" max="1873" customWidth="1" width="9.140625"/>
    <col min="1874" max="1874" customWidth="1" width="9.140625"/>
    <col min="1875" max="1875" customWidth="1" width="9.140625"/>
    <col min="1876" max="1876" customWidth="1" width="9.140625"/>
    <col min="1877" max="1877" customWidth="1" width="9.140625"/>
    <col min="1878" max="1878" customWidth="1" width="9.140625"/>
    <col min="1879" max="1879" customWidth="1" width="9.140625"/>
    <col min="1880" max="1880" customWidth="1" width="9.140625"/>
    <col min="1881" max="1881" customWidth="1" width="9.140625"/>
    <col min="1882" max="1882" customWidth="1" width="9.140625"/>
    <col min="1883" max="1883" customWidth="1" width="9.140625"/>
    <col min="1884" max="1884" customWidth="1" width="9.140625"/>
    <col min="1885" max="1885" customWidth="1" width="9.140625"/>
    <col min="1886" max="1886" customWidth="1" width="9.140625"/>
    <col min="1887" max="1887" customWidth="1" width="9.140625"/>
    <col min="1888" max="1888" customWidth="1" width="9.140625"/>
    <col min="1889" max="1889" customWidth="1" width="9.140625"/>
    <col min="1890" max="1890" customWidth="1" width="9.140625"/>
    <col min="1891" max="1891" customWidth="1" width="9.140625"/>
    <col min="1892" max="1892" customWidth="1" width="9.140625"/>
    <col min="1893" max="1893" customWidth="1" width="9.140625"/>
    <col min="1894" max="1894" customWidth="1" width="9.140625"/>
    <col min="1895" max="1895" customWidth="1" width="9.140625"/>
    <col min="1896" max="1896" customWidth="1" width="9.140625"/>
    <col min="1897" max="1897" customWidth="1" width="9.140625"/>
    <col min="1898" max="1898" customWidth="1" width="9.140625"/>
    <col min="1899" max="1899" customWidth="1" width="9.140625"/>
    <col min="1900" max="1900" customWidth="1" width="9.140625"/>
    <col min="1901" max="1901" customWidth="1" width="9.140625"/>
    <col min="1902" max="1902" customWidth="1" width="9.140625"/>
    <col min="1903" max="1903" customWidth="1" width="9.140625"/>
    <col min="1904" max="1904" customWidth="1" width="9.140625"/>
    <col min="1905" max="1905" customWidth="1" width="9.140625"/>
    <col min="1906" max="1906" customWidth="1" width="9.140625"/>
    <col min="1907" max="1907" customWidth="1" width="9.140625"/>
    <col min="1908" max="1908" customWidth="1" width="9.140625"/>
    <col min="1909" max="1909" customWidth="1" width="9.140625"/>
    <col min="1910" max="1910" customWidth="1" width="9.140625"/>
    <col min="1911" max="1911" customWidth="1" width="9.140625"/>
    <col min="1912" max="1912" customWidth="1" width="9.140625"/>
    <col min="1913" max="1913" customWidth="1" width="9.140625"/>
    <col min="1914" max="1914" customWidth="1" width="9.140625"/>
    <col min="1915" max="1915" customWidth="1" width="9.140625"/>
    <col min="1916" max="1916" customWidth="1" width="9.140625"/>
    <col min="1917" max="1917" customWidth="1" width="9.140625"/>
    <col min="1918" max="1918" customWidth="1" width="9.140625"/>
    <col min="1919" max="1919" customWidth="1" width="9.140625"/>
    <col min="1920" max="1920" customWidth="1" width="9.140625"/>
    <col min="1921" max="1921" customWidth="1" width="9.140625"/>
    <col min="1922" max="1922" customWidth="1" width="9.140625"/>
    <col min="1923" max="1923" customWidth="1" width="9.140625"/>
    <col min="1924" max="1924" customWidth="1" width="9.140625"/>
    <col min="1925" max="1925" customWidth="1" width="9.140625"/>
    <col min="1926" max="1926" customWidth="1" width="9.140625"/>
    <col min="1927" max="1927" customWidth="1" width="9.140625"/>
    <col min="1928" max="1928" customWidth="1" width="9.140625"/>
    <col min="1929" max="1929" customWidth="1" width="9.140625"/>
    <col min="1930" max="1930" customWidth="1" width="9.140625"/>
    <col min="1931" max="1931" customWidth="1" width="9.140625"/>
    <col min="1932" max="1932" customWidth="1" width="9.140625"/>
    <col min="1933" max="1933" customWidth="1" width="9.140625"/>
    <col min="1934" max="1934" customWidth="1" width="9.140625"/>
    <col min="1935" max="1935" customWidth="1" width="9.140625"/>
    <col min="1936" max="1936" customWidth="1" width="9.140625"/>
    <col min="1937" max="1937" customWidth="1" width="9.140625"/>
    <col min="1938" max="1938" customWidth="1" width="9.140625"/>
    <col min="1939" max="1939" customWidth="1" width="9.140625"/>
    <col min="1940" max="1940" customWidth="1" width="9.140625"/>
    <col min="1941" max="1941" customWidth="1" width="9.140625"/>
    <col min="1942" max="1942" customWidth="1" width="9.140625"/>
    <col min="1943" max="1943" customWidth="1" width="9.140625"/>
    <col min="1944" max="1944" customWidth="1" width="9.140625"/>
    <col min="1945" max="1945" customWidth="1" width="9.140625"/>
    <col min="1946" max="1946" customWidth="1" width="9.140625"/>
    <col min="1947" max="1947" customWidth="1" width="9.140625"/>
    <col min="1948" max="1948" customWidth="1" width="9.140625"/>
    <col min="1949" max="1949" customWidth="1" width="9.140625"/>
    <col min="1950" max="1950" customWidth="1" width="9.140625"/>
    <col min="1951" max="1951" customWidth="1" width="9.140625"/>
    <col min="1952" max="1952" customWidth="1" width="9.140625"/>
    <col min="1953" max="1953" customWidth="1" width="9.140625"/>
    <col min="1954" max="1954" customWidth="1" width="9.140625"/>
    <col min="1955" max="1955" customWidth="1" width="9.140625"/>
    <col min="1956" max="1956" customWidth="1" width="9.140625"/>
    <col min="1957" max="1957" customWidth="1" width="9.140625"/>
    <col min="1958" max="1958" customWidth="1" width="9.140625"/>
    <col min="1959" max="1959" customWidth="1" width="9.140625"/>
    <col min="1960" max="1960" customWidth="1" width="9.140625"/>
    <col min="1961" max="1961" customWidth="1" width="9.140625"/>
    <col min="1962" max="1962" customWidth="1" width="9.140625"/>
    <col min="1963" max="1963" customWidth="1" width="9.140625"/>
    <col min="1964" max="1964" customWidth="1" width="9.140625"/>
    <col min="1965" max="1965" customWidth="1" width="9.140625"/>
    <col min="1966" max="1966" customWidth="1" width="9.140625"/>
    <col min="1967" max="1967" customWidth="1" width="9.140625"/>
    <col min="1968" max="1968" customWidth="1" width="9.140625"/>
    <col min="1969" max="1969" customWidth="1" width="9.140625"/>
    <col min="1970" max="1970" customWidth="1" width="9.140625"/>
    <col min="1971" max="1971" customWidth="1" width="9.140625"/>
    <col min="1972" max="1972" customWidth="1" width="9.140625"/>
    <col min="1973" max="1973" customWidth="1" width="9.140625"/>
    <col min="1974" max="1974" customWidth="1" width="9.140625"/>
    <col min="1975" max="1975" customWidth="1" width="9.140625"/>
    <col min="1976" max="1976" customWidth="1" width="9.140625"/>
    <col min="1977" max="1977" customWidth="1" width="9.140625"/>
    <col min="1978" max="1978" customWidth="1" width="9.140625"/>
    <col min="1979" max="1979" customWidth="1" width="9.140625"/>
    <col min="1980" max="1980" customWidth="1" width="9.140625"/>
    <col min="1981" max="1981" customWidth="1" width="9.140625"/>
    <col min="1982" max="1982" customWidth="1" width="9.140625"/>
    <col min="1983" max="1983" customWidth="1" width="9.140625"/>
    <col min="1984" max="1984" customWidth="1" width="9.140625"/>
    <col min="1985" max="1985" customWidth="1" width="9.140625"/>
    <col min="1986" max="1986" customWidth="1" width="9.140625"/>
    <col min="1987" max="1987" customWidth="1" width="9.140625"/>
    <col min="1988" max="1988" customWidth="1" width="9.140625"/>
    <col min="1989" max="1989" customWidth="1" width="9.140625"/>
    <col min="1990" max="1990" customWidth="1" width="9.140625"/>
    <col min="1991" max="1991" customWidth="1" width="9.140625"/>
    <col min="1992" max="1992" customWidth="1" width="9.140625"/>
    <col min="1993" max="1993" customWidth="1" width="9.140625"/>
    <col min="1994" max="1994" customWidth="1" width="9.140625"/>
    <col min="1995" max="1995" customWidth="1" width="9.140625"/>
    <col min="1996" max="1996" customWidth="1" width="9.140625"/>
    <col min="1997" max="1997" customWidth="1" width="9.140625"/>
    <col min="1998" max="1998" customWidth="1" width="9.140625"/>
    <col min="1999" max="1999" customWidth="1" width="9.140625"/>
    <col min="2000" max="2000" customWidth="1" width="9.140625"/>
    <col min="2001" max="2001" customWidth="1" width="9.140625"/>
    <col min="2002" max="2002" customWidth="1" width="9.140625"/>
    <col min="2003" max="2003" customWidth="1" width="9.140625"/>
    <col min="2004" max="2004" customWidth="1" width="9.140625"/>
    <col min="2005" max="2005" customWidth="1" width="9.140625"/>
    <col min="2006" max="2006" customWidth="1" width="9.140625"/>
    <col min="2007" max="2007" customWidth="1" width="9.140625"/>
    <col min="2008" max="2008" customWidth="1" width="9.140625"/>
    <col min="2009" max="2009" customWidth="1" width="9.140625"/>
    <col min="2010" max="2010" customWidth="1" width="9.140625"/>
    <col min="2011" max="2011" customWidth="1" width="9.140625"/>
    <col min="2012" max="2012" customWidth="1" width="9.140625"/>
    <col min="2013" max="2013" customWidth="1" width="9.140625"/>
    <col min="2014" max="2014" customWidth="1" width="9.140625"/>
    <col min="2015" max="2015" customWidth="1" width="9.140625"/>
    <col min="2016" max="2016" customWidth="1" width="9.140625"/>
    <col min="2017" max="2017" customWidth="1" width="9.140625"/>
    <col min="2018" max="2018" customWidth="1" width="9.140625"/>
    <col min="2019" max="2019" customWidth="1" width="9.140625"/>
    <col min="2020" max="2020" customWidth="1" width="9.140625"/>
    <col min="2021" max="2021" customWidth="1" width="9.140625"/>
    <col min="2022" max="2022" customWidth="1" width="9.140625"/>
    <col min="2023" max="2023" customWidth="1" width="9.140625"/>
    <col min="2024" max="2024" customWidth="1" width="9.140625"/>
    <col min="2025" max="2025" customWidth="1" width="9.140625"/>
    <col min="2026" max="2026" customWidth="1" width="9.140625"/>
    <col min="2027" max="2027" customWidth="1" width="9.140625"/>
    <col min="2028" max="2028" customWidth="1" width="9.140625"/>
    <col min="2029" max="2029" customWidth="1" width="9.140625"/>
    <col min="2030" max="2030" customWidth="1" width="9.140625"/>
    <col min="2031" max="2031" customWidth="1" width="9.140625"/>
    <col min="2032" max="2032" customWidth="1" width="9.140625"/>
    <col min="2033" max="2033" customWidth="1" width="9.140625"/>
    <col min="2034" max="2034" customWidth="1" width="9.140625"/>
    <col min="2035" max="2035" customWidth="1" width="9.140625"/>
    <col min="2036" max="2036" customWidth="1" width="9.140625"/>
    <col min="2037" max="2037" customWidth="1" width="9.140625"/>
    <col min="2038" max="2038" customWidth="1" width="9.140625"/>
    <col min="2039" max="2039" customWidth="1" width="9.140625"/>
    <col min="2040" max="2040" customWidth="1" width="9.140625"/>
    <col min="2041" max="2041" customWidth="1" width="9.140625"/>
    <col min="2042" max="2042" customWidth="1" width="9.140625"/>
    <col min="2043" max="2043" customWidth="1" width="9.140625"/>
    <col min="2044" max="2044" customWidth="1" width="9.140625"/>
    <col min="2045" max="2045" customWidth="1" width="9.140625"/>
    <col min="2046" max="2046" customWidth="1" width="9.140625"/>
    <col min="2047" max="2047" customWidth="1" width="9.140625"/>
    <col min="2048" max="2048" customWidth="1" width="9.140625"/>
    <col min="2049" max="2049" customWidth="1" width="9.140625"/>
    <col min="2050" max="2050" customWidth="1" width="9.140625"/>
    <col min="2051" max="2051" customWidth="1" width="9.140625"/>
    <col min="2052" max="2052" customWidth="1" width="9.140625"/>
    <col min="2053" max="2053" customWidth="1" width="9.140625"/>
    <col min="2054" max="2054" customWidth="1" width="9.140625"/>
    <col min="2055" max="2055" customWidth="1" width="9.140625"/>
    <col min="2056" max="2056" customWidth="1" width="9.140625"/>
    <col min="2057" max="2057" customWidth="1" width="9.140625"/>
    <col min="2058" max="2058" customWidth="1" width="9.140625"/>
    <col min="2059" max="2059" customWidth="1" width="9.140625"/>
    <col min="2060" max="2060" customWidth="1" width="9.140625"/>
    <col min="2061" max="2061" customWidth="1" width="9.140625"/>
    <col min="2062" max="2062" customWidth="1" width="9.140625"/>
    <col min="2063" max="2063" customWidth="1" width="9.140625"/>
    <col min="2064" max="2064" customWidth="1" width="9.140625"/>
    <col min="2065" max="2065" customWidth="1" width="9.140625"/>
    <col min="2066" max="2066" customWidth="1" width="9.140625"/>
    <col min="2067" max="2067" customWidth="1" width="9.140625"/>
    <col min="2068" max="2068" customWidth="1" width="9.140625"/>
    <col min="2069" max="2069" customWidth="1" width="9.140625"/>
    <col min="2070" max="2070" customWidth="1" width="9.140625"/>
    <col min="2071" max="2071" customWidth="1" width="9.140625"/>
    <col min="2072" max="2072" customWidth="1" width="9.140625"/>
    <col min="2073" max="2073" customWidth="1" width="9.140625"/>
    <col min="2074" max="2074" customWidth="1" width="9.140625"/>
    <col min="2075" max="2075" customWidth="1" width="9.140625"/>
    <col min="2076" max="2076" customWidth="1" width="9.140625"/>
    <col min="2077" max="2077" customWidth="1" width="9.140625"/>
    <col min="2078" max="2078" customWidth="1" width="9.140625"/>
    <col min="2079" max="2079" customWidth="1" width="9.140625"/>
    <col min="2080" max="2080" customWidth="1" width="9.140625"/>
    <col min="2081" max="2081" customWidth="1" width="9.140625"/>
    <col min="2082" max="2082" customWidth="1" width="9.140625"/>
    <col min="2083" max="2083" customWidth="1" width="9.140625"/>
    <col min="2084" max="2084" customWidth="1" width="9.140625"/>
    <col min="2085" max="2085" customWidth="1" width="9.140625"/>
    <col min="2086" max="2086" customWidth="1" width="9.140625"/>
    <col min="2087" max="2087" customWidth="1" width="9.140625"/>
    <col min="2088" max="2088" customWidth="1" width="9.140625"/>
    <col min="2089" max="2089" customWidth="1" width="9.140625"/>
    <col min="2090" max="2090" customWidth="1" width="9.140625"/>
    <col min="2091" max="2091" customWidth="1" width="9.140625"/>
    <col min="2092" max="2092" customWidth="1" width="9.140625"/>
    <col min="2093" max="2093" customWidth="1" width="9.140625"/>
    <col min="2094" max="2094" customWidth="1" width="9.140625"/>
    <col min="2095" max="2095" customWidth="1" width="9.140625"/>
    <col min="2096" max="2096" customWidth="1" width="9.140625"/>
    <col min="2097" max="2097" customWidth="1" width="9.140625"/>
    <col min="2098" max="2098" customWidth="1" width="9.140625"/>
    <col min="2099" max="2099" customWidth="1" width="9.140625"/>
    <col min="2100" max="2100" customWidth="1" width="9.140625"/>
    <col min="2101" max="2101" customWidth="1" width="9.140625"/>
    <col min="2102" max="2102" customWidth="1" width="9.140625"/>
    <col min="2103" max="2103" customWidth="1" width="9.140625"/>
    <col min="2104" max="2104" customWidth="1" width="9.140625"/>
    <col min="2105" max="2105" customWidth="1" width="9.140625"/>
    <col min="2106" max="2106" customWidth="1" width="9.140625"/>
    <col min="2107" max="2107" customWidth="1" width="9.140625"/>
    <col min="2108" max="2108" customWidth="1" width="9.140625"/>
    <col min="2109" max="2109" customWidth="1" width="9.140625"/>
    <col min="2110" max="2110" customWidth="1" width="9.140625"/>
    <col min="2111" max="2111" customWidth="1" width="9.140625"/>
    <col min="2112" max="2112" customWidth="1" width="9.140625"/>
    <col min="2113" max="2113" customWidth="1" width="9.140625"/>
    <col min="2114" max="2114" customWidth="1" width="9.140625"/>
    <col min="2115" max="2115" customWidth="1" width="9.140625"/>
    <col min="2116" max="2116" customWidth="1" width="9.140625"/>
    <col min="2117" max="2117" customWidth="1" width="9.140625"/>
    <col min="2118" max="2118" customWidth="1" width="9.140625"/>
    <col min="2119" max="2119" customWidth="1" width="9.140625"/>
    <col min="2120" max="2120" customWidth="1" width="9.140625"/>
    <col min="2121" max="2121" customWidth="1" width="9.140625"/>
    <col min="2122" max="2122" customWidth="1" width="9.140625"/>
    <col min="2123" max="2123" customWidth="1" width="9.140625"/>
    <col min="2124" max="2124" customWidth="1" width="9.140625"/>
    <col min="2125" max="2125" customWidth="1" width="9.140625"/>
    <col min="2126" max="2126" customWidth="1" width="9.140625"/>
    <col min="2127" max="2127" customWidth="1" width="9.140625"/>
    <col min="2128" max="2128" customWidth="1" width="9.140625"/>
    <col min="2129" max="2129" customWidth="1" width="9.140625"/>
    <col min="2130" max="2130" customWidth="1" width="9.140625"/>
    <col min="2131" max="2131" customWidth="1" width="9.140625"/>
    <col min="2132" max="2132" customWidth="1" width="9.140625"/>
    <col min="2133" max="2133" customWidth="1" width="9.140625"/>
    <col min="2134" max="2134" customWidth="1" width="9.140625"/>
    <col min="2135" max="2135" customWidth="1" width="9.140625"/>
    <col min="2136" max="2136" customWidth="1" width="9.140625"/>
    <col min="2137" max="2137" customWidth="1" width="9.140625"/>
    <col min="2138" max="2138" customWidth="1" width="9.140625"/>
    <col min="2139" max="2139" customWidth="1" width="9.140625"/>
    <col min="2140" max="2140" customWidth="1" width="9.140625"/>
    <col min="2141" max="2141" customWidth="1" width="9.140625"/>
    <col min="2142" max="2142" customWidth="1" width="9.140625"/>
    <col min="2143" max="2143" customWidth="1" width="9.140625"/>
    <col min="2144" max="2144" customWidth="1" width="9.140625"/>
    <col min="2145" max="2145" customWidth="1" width="9.140625"/>
    <col min="2146" max="2146" customWidth="1" width="9.140625"/>
    <col min="2147" max="2147" customWidth="1" width="9.140625"/>
    <col min="2148" max="2148" customWidth="1" width="9.140625"/>
    <col min="2149" max="2149" customWidth="1" width="9.140625"/>
    <col min="2150" max="2150" customWidth="1" width="9.140625"/>
    <col min="2151" max="2151" customWidth="1" width="9.140625"/>
    <col min="2152" max="2152" customWidth="1" width="9.140625"/>
    <col min="2153" max="2153" customWidth="1" width="9.140625"/>
    <col min="2154" max="2154" customWidth="1" width="9.140625"/>
    <col min="2155" max="2155" customWidth="1" width="9.140625"/>
    <col min="2156" max="2156" customWidth="1" width="9.140625"/>
    <col min="2157" max="2157" customWidth="1" width="9.140625"/>
    <col min="2158" max="2158" customWidth="1" width="9.140625"/>
    <col min="2159" max="2159" customWidth="1" width="9.140625"/>
    <col min="2160" max="2160" customWidth="1" width="9.140625"/>
    <col min="2161" max="2161" customWidth="1" width="9.140625"/>
    <col min="2162" max="2162" customWidth="1" width="9.140625"/>
    <col min="2163" max="2163" customWidth="1" width="9.140625"/>
    <col min="2164" max="2164" customWidth="1" width="9.140625"/>
    <col min="2165" max="2165" customWidth="1" width="9.140625"/>
    <col min="2166" max="2166" customWidth="1" width="9.140625"/>
    <col min="2167" max="2167" customWidth="1" width="9.140625"/>
    <col min="2168" max="2168" customWidth="1" width="9.140625"/>
    <col min="2169" max="2169" customWidth="1" width="9.140625"/>
    <col min="2170" max="2170" customWidth="1" width="9.140625"/>
    <col min="2171" max="2171" customWidth="1" width="9.140625"/>
    <col min="2172" max="2172" customWidth="1" width="9.140625"/>
    <col min="2173" max="2173" customWidth="1" width="9.140625"/>
    <col min="2174" max="2174" customWidth="1" width="9.140625"/>
    <col min="2175" max="2175" customWidth="1" width="9.140625"/>
    <col min="2176" max="2176" customWidth="1" width="9.140625"/>
    <col min="2177" max="2177" customWidth="1" width="9.140625"/>
    <col min="2178" max="2178" customWidth="1" width="9.140625"/>
    <col min="2179" max="2179" customWidth="1" width="9.140625"/>
    <col min="2180" max="2180" customWidth="1" width="9.140625"/>
    <col min="2181" max="2181" customWidth="1" width="9.140625"/>
    <col min="2182" max="2182" customWidth="1" width="9.140625"/>
    <col min="2183" max="2183" customWidth="1" width="9.140625"/>
    <col min="2184" max="2184" customWidth="1" width="9.140625"/>
    <col min="2185" max="2185" customWidth="1" width="9.140625"/>
    <col min="2186" max="2186" customWidth="1" width="9.140625"/>
    <col min="2187" max="2187" customWidth="1" width="9.140625"/>
    <col min="2188" max="2188" customWidth="1" width="9.140625"/>
    <col min="2189" max="2189" customWidth="1" width="9.140625"/>
    <col min="2190" max="2190" customWidth="1" width="9.140625"/>
    <col min="2191" max="2191" customWidth="1" width="9.140625"/>
    <col min="2192" max="2192" customWidth="1" width="9.140625"/>
    <col min="2193" max="2193" customWidth="1" width="9.140625"/>
    <col min="2194" max="2194" customWidth="1" width="9.140625"/>
    <col min="2195" max="2195" customWidth="1" width="9.140625"/>
    <col min="2196" max="2196" customWidth="1" width="9.140625"/>
    <col min="2197" max="2197" customWidth="1" width="9.140625"/>
    <col min="2198" max="2198" customWidth="1" width="9.140625"/>
    <col min="2199" max="2199" customWidth="1" width="9.140625"/>
    <col min="2200" max="2200" customWidth="1" width="9.140625"/>
    <col min="2201" max="2201" customWidth="1" width="9.140625"/>
    <col min="2202" max="2202" customWidth="1" width="9.140625"/>
    <col min="2203" max="2203" customWidth="1" width="9.140625"/>
    <col min="2204" max="2204" customWidth="1" width="9.140625"/>
    <col min="2205" max="2205" customWidth="1" width="9.140625"/>
    <col min="2206" max="2206" customWidth="1" width="9.140625"/>
    <col min="2207" max="2207" customWidth="1" width="9.140625"/>
    <col min="2208" max="2208" customWidth="1" width="9.140625"/>
    <col min="2209" max="2209" customWidth="1" width="9.140625"/>
    <col min="2210" max="2210" customWidth="1" width="9.140625"/>
    <col min="2211" max="2211" customWidth="1" width="9.140625"/>
    <col min="2212" max="2212" customWidth="1" width="9.140625"/>
    <col min="2213" max="2213" customWidth="1" width="9.140625"/>
    <col min="2214" max="2214" customWidth="1" width="9.140625"/>
    <col min="2215" max="2215" customWidth="1" width="9.140625"/>
    <col min="2216" max="2216" customWidth="1" width="9.140625"/>
    <col min="2217" max="2217" customWidth="1" width="9.140625"/>
    <col min="2218" max="2218" customWidth="1" width="9.140625"/>
    <col min="2219" max="2219" customWidth="1" width="9.140625"/>
    <col min="2220" max="2220" customWidth="1" width="9.140625"/>
    <col min="2221" max="2221" customWidth="1" width="9.140625"/>
    <col min="2222" max="2222" customWidth="1" width="9.140625"/>
    <col min="2223" max="2223" customWidth="1" width="9.140625"/>
    <col min="2224" max="2224" customWidth="1" width="9.140625"/>
    <col min="2225" max="2225" customWidth="1" width="9.140625"/>
    <col min="2226" max="2226" customWidth="1" width="9.140625"/>
    <col min="2227" max="2227" customWidth="1" width="9.140625"/>
    <col min="2228" max="2228" customWidth="1" width="9.140625"/>
    <col min="2229" max="2229" customWidth="1" width="9.140625"/>
    <col min="2230" max="2230" customWidth="1" width="9.140625"/>
    <col min="2231" max="2231" customWidth="1" width="9.140625"/>
    <col min="2232" max="2232" customWidth="1" width="9.140625"/>
    <col min="2233" max="2233" customWidth="1" width="9.140625"/>
    <col min="2234" max="2234" customWidth="1" width="9.140625"/>
    <col min="2235" max="2235" customWidth="1" width="9.140625"/>
    <col min="2236" max="2236" customWidth="1" width="9.140625"/>
    <col min="2237" max="2237" customWidth="1" width="9.140625"/>
    <col min="2238" max="2238" customWidth="1" width="9.140625"/>
    <col min="2239" max="2239" customWidth="1" width="9.140625"/>
    <col min="2240" max="2240" customWidth="1" width="9.140625"/>
    <col min="2241" max="2241" customWidth="1" width="9.140625"/>
    <col min="2242" max="2242" customWidth="1" width="9.140625"/>
    <col min="2243" max="2243" customWidth="1" width="9.140625"/>
    <col min="2244" max="2244" customWidth="1" width="9.140625"/>
    <col min="2245" max="2245" customWidth="1" width="9.140625"/>
    <col min="2246" max="2246" customWidth="1" width="9.140625"/>
    <col min="2247" max="2247" customWidth="1" width="9.140625"/>
    <col min="2248" max="2248" customWidth="1" width="9.140625"/>
    <col min="2249" max="2249" customWidth="1" width="9.140625"/>
    <col min="2250" max="2250" customWidth="1" width="9.140625"/>
    <col min="2251" max="2251" customWidth="1" width="9.140625"/>
    <col min="2252" max="2252" customWidth="1" width="9.140625"/>
    <col min="2253" max="2253" customWidth="1" width="9.140625"/>
    <col min="2254" max="2254" customWidth="1" width="9.140625"/>
    <col min="2255" max="2255" customWidth="1" width="9.140625"/>
    <col min="2256" max="2256" customWidth="1" width="9.140625"/>
    <col min="2257" max="2257" customWidth="1" width="9.140625"/>
    <col min="2258" max="2258" customWidth="1" width="9.140625"/>
    <col min="2259" max="2259" customWidth="1" width="9.140625"/>
    <col min="2260" max="2260" customWidth="1" width="9.140625"/>
    <col min="2261" max="2261" customWidth="1" width="9.140625"/>
    <col min="2262" max="2262" customWidth="1" width="9.140625"/>
    <col min="2263" max="2263" customWidth="1" width="9.140625"/>
    <col min="2264" max="2264" customWidth="1" width="9.140625"/>
    <col min="2265" max="2265" customWidth="1" width="9.140625"/>
    <col min="2266" max="2266" customWidth="1" width="9.140625"/>
    <col min="2267" max="2267" customWidth="1" width="9.140625"/>
    <col min="2268" max="2268" customWidth="1" width="9.140625"/>
    <col min="2269" max="2269" customWidth="1" width="9.140625"/>
    <col min="2270" max="2270" customWidth="1" width="9.140625"/>
    <col min="2271" max="2271" customWidth="1" width="9.140625"/>
    <col min="2272" max="2272" customWidth="1" width="9.140625"/>
    <col min="2273" max="2273" customWidth="1" width="9.140625"/>
    <col min="2274" max="2274" customWidth="1" width="9.140625"/>
    <col min="2275" max="2275" customWidth="1" width="9.140625"/>
    <col min="2276" max="2276" customWidth="1" width="9.140625"/>
    <col min="2277" max="2277" customWidth="1" width="9.140625"/>
    <col min="2278" max="2278" customWidth="1" width="9.140625"/>
    <col min="2279" max="2279" customWidth="1" width="9.140625"/>
    <col min="2280" max="2280" customWidth="1" width="9.140625"/>
    <col min="2281" max="2281" customWidth="1" width="9.140625"/>
    <col min="2282" max="2282" customWidth="1" width="9.140625"/>
    <col min="2283" max="2283" customWidth="1" width="9.140625"/>
    <col min="2284" max="2284" customWidth="1" width="9.140625"/>
    <col min="2285" max="2285" customWidth="1" width="9.140625"/>
    <col min="2286" max="2286" customWidth="1" width="9.140625"/>
    <col min="2287" max="2287" customWidth="1" width="9.140625"/>
    <col min="2288" max="2288" customWidth="1" width="9.140625"/>
    <col min="2289" max="2289" customWidth="1" width="9.140625"/>
    <col min="2290" max="2290" customWidth="1" width="9.140625"/>
    <col min="2291" max="2291" customWidth="1" width="9.140625"/>
    <col min="2292" max="2292" customWidth="1" width="9.140625"/>
    <col min="2293" max="2293" customWidth="1" width="9.140625"/>
    <col min="2294" max="2294" customWidth="1" width="9.140625"/>
    <col min="2295" max="2295" customWidth="1" width="9.140625"/>
    <col min="2296" max="2296" customWidth="1" width="9.140625"/>
    <col min="2297" max="2297" customWidth="1" width="9.140625"/>
    <col min="2298" max="2298" customWidth="1" width="9.140625"/>
    <col min="2299" max="2299" customWidth="1" width="9.140625"/>
    <col min="2300" max="2300" customWidth="1" width="9.140625"/>
    <col min="2301" max="2301" customWidth="1" width="9.140625"/>
    <col min="2302" max="2302" customWidth="1" width="9.140625"/>
    <col min="2303" max="2303" customWidth="1" width="9.140625"/>
    <col min="2304" max="2304" customWidth="1" width="9.140625"/>
    <col min="2305" max="2305" customWidth="1" width="9.140625"/>
    <col min="2306" max="2306" customWidth="1" width="9.140625"/>
    <col min="2307" max="2307" customWidth="1" width="9.140625"/>
    <col min="2308" max="2308" customWidth="1" width="9.140625"/>
    <col min="2309" max="2309" customWidth="1" width="9.140625"/>
    <col min="2310" max="2310" customWidth="1" width="9.140625"/>
    <col min="2311" max="2311" customWidth="1" width="9.140625"/>
    <col min="2312" max="2312" customWidth="1" width="9.140625"/>
    <col min="2313" max="2313" customWidth="1" width="9.140625"/>
    <col min="2314" max="2314" customWidth="1" width="9.140625"/>
    <col min="2315" max="2315" customWidth="1" width="9.140625"/>
    <col min="2316" max="2316" customWidth="1" width="9.140625"/>
    <col min="2317" max="2317" customWidth="1" width="9.140625"/>
    <col min="2318" max="2318" customWidth="1" width="9.140625"/>
    <col min="2319" max="2319" customWidth="1" width="9.140625"/>
    <col min="2320" max="2320" customWidth="1" width="9.140625"/>
    <col min="2321" max="2321" customWidth="1" width="9.140625"/>
    <col min="2322" max="2322" customWidth="1" width="9.140625"/>
    <col min="2323" max="2323" customWidth="1" width="9.140625"/>
    <col min="2324" max="2324" customWidth="1" width="9.140625"/>
    <col min="2325" max="2325" customWidth="1" width="9.140625"/>
    <col min="2326" max="2326" customWidth="1" width="9.140625"/>
    <col min="2327" max="2327" customWidth="1" width="9.140625"/>
    <col min="2328" max="2328" customWidth="1" width="9.140625"/>
    <col min="2329" max="2329" customWidth="1" width="9.140625"/>
    <col min="2330" max="2330" customWidth="1" width="9.140625"/>
    <col min="2331" max="2331" customWidth="1" width="9.140625"/>
    <col min="2332" max="2332" customWidth="1" width="9.140625"/>
    <col min="2333" max="2333" customWidth="1" width="9.140625"/>
    <col min="2334" max="2334" customWidth="1" width="9.140625"/>
    <col min="2335" max="2335" customWidth="1" width="9.140625"/>
    <col min="2336" max="2336" customWidth="1" width="9.140625"/>
    <col min="2337" max="2337" customWidth="1" width="9.140625"/>
    <col min="2338" max="2338" customWidth="1" width="9.140625"/>
    <col min="2339" max="2339" customWidth="1" width="9.140625"/>
    <col min="2340" max="2340" customWidth="1" width="9.140625"/>
    <col min="2341" max="2341" customWidth="1" width="9.140625"/>
    <col min="2342" max="2342" customWidth="1" width="9.140625"/>
    <col min="2343" max="2343" customWidth="1" width="9.140625"/>
    <col min="2344" max="2344" customWidth="1" width="9.140625"/>
    <col min="2345" max="2345" customWidth="1" width="9.140625"/>
    <col min="2346" max="2346" customWidth="1" width="9.140625"/>
    <col min="2347" max="2347" customWidth="1" width="9.140625"/>
    <col min="2348" max="2348" customWidth="1" width="9.140625"/>
    <col min="2349" max="2349" customWidth="1" width="9.140625"/>
    <col min="2350" max="2350" customWidth="1" width="9.140625"/>
    <col min="2351" max="2351" customWidth="1" width="9.140625"/>
    <col min="2352" max="2352" customWidth="1" width="9.140625"/>
    <col min="2353" max="2353" customWidth="1" width="9.140625"/>
    <col min="2354" max="2354" customWidth="1" width="9.140625"/>
    <col min="2355" max="2355" customWidth="1" width="9.140625"/>
    <col min="2356" max="2356" customWidth="1" width="9.140625"/>
    <col min="2357" max="2357" customWidth="1" width="9.140625"/>
    <col min="2358" max="2358" customWidth="1" width="9.140625"/>
    <col min="2359" max="2359" customWidth="1" width="9.140625"/>
    <col min="2360" max="2360" customWidth="1" width="9.140625"/>
    <col min="2361" max="2361" customWidth="1" width="9.140625"/>
    <col min="2362" max="2362" customWidth="1" width="9.140625"/>
    <col min="2363" max="2363" customWidth="1" width="9.140625"/>
    <col min="2364" max="2364" customWidth="1" width="9.140625"/>
    <col min="2365" max="2365" customWidth="1" width="9.140625"/>
    <col min="2366" max="2366" customWidth="1" width="9.140625"/>
    <col min="2367" max="2367" customWidth="1" width="9.140625"/>
    <col min="2368" max="2368" customWidth="1" width="9.140625"/>
    <col min="2369" max="2369" customWidth="1" width="9.140625"/>
    <col min="2370" max="2370" customWidth="1" width="9.140625"/>
    <col min="2371" max="2371" customWidth="1" width="9.140625"/>
    <col min="2372" max="2372" customWidth="1" width="9.140625"/>
    <col min="2373" max="2373" customWidth="1" width="9.140625"/>
    <col min="2374" max="2374" customWidth="1" width="9.140625"/>
    <col min="2375" max="2375" customWidth="1" width="9.140625"/>
    <col min="2376" max="2376" customWidth="1" width="9.140625"/>
    <col min="2377" max="2377" customWidth="1" width="9.140625"/>
    <col min="2378" max="2378" customWidth="1" width="9.140625"/>
    <col min="2379" max="2379" customWidth="1" width="9.140625"/>
    <col min="2380" max="2380" customWidth="1" width="9.140625"/>
    <col min="2381" max="2381" customWidth="1" width="9.140625"/>
    <col min="2382" max="2382" customWidth="1" width="9.140625"/>
    <col min="2383" max="2383" customWidth="1" width="9.140625"/>
    <col min="2384" max="2384" customWidth="1" width="9.140625"/>
    <col min="2385" max="2385" customWidth="1" width="9.140625"/>
    <col min="2386" max="2386" customWidth="1" width="9.140625"/>
    <col min="2387" max="2387" customWidth="1" width="9.140625"/>
    <col min="2388" max="2388" customWidth="1" width="9.140625"/>
    <col min="2389" max="2389" customWidth="1" width="9.140625"/>
    <col min="2390" max="2390" customWidth="1" width="9.140625"/>
    <col min="2391" max="2391" customWidth="1" width="9.140625"/>
    <col min="2392" max="2392" customWidth="1" width="9.140625"/>
    <col min="2393" max="2393" customWidth="1" width="9.140625"/>
    <col min="2394" max="2394" customWidth="1" width="9.140625"/>
    <col min="2395" max="2395" customWidth="1" width="9.140625"/>
    <col min="2396" max="2396" customWidth="1" width="9.140625"/>
    <col min="2397" max="2397" customWidth="1" width="9.140625"/>
    <col min="2398" max="2398" customWidth="1" width="9.140625"/>
    <col min="2399" max="2399" customWidth="1" width="9.140625"/>
    <col min="2400" max="2400" customWidth="1" width="9.140625"/>
    <col min="2401" max="2401" customWidth="1" width="9.140625"/>
    <col min="2402" max="2402" customWidth="1" width="9.140625"/>
    <col min="2403" max="2403" customWidth="1" width="9.140625"/>
    <col min="2404" max="2404" customWidth="1" width="9.140625"/>
    <col min="2405" max="2405" customWidth="1" width="9.140625"/>
    <col min="2406" max="2406" customWidth="1" width="9.140625"/>
    <col min="2407" max="2407" customWidth="1" width="9.140625"/>
    <col min="2408" max="2408" customWidth="1" width="9.140625"/>
    <col min="2409" max="2409" customWidth="1" width="9.140625"/>
    <col min="2410" max="2410" customWidth="1" width="9.140625"/>
    <col min="2411" max="2411" customWidth="1" width="9.140625"/>
    <col min="2412" max="2412" customWidth="1" width="9.140625"/>
    <col min="2413" max="2413" customWidth="1" width="9.140625"/>
    <col min="2414" max="2414" customWidth="1" width="9.140625"/>
    <col min="2415" max="2415" customWidth="1" width="9.140625"/>
    <col min="2416" max="2416" customWidth="1" width="9.140625"/>
    <col min="2417" max="2417" customWidth="1" width="9.140625"/>
    <col min="2418" max="2418" customWidth="1" width="9.140625"/>
    <col min="2419" max="2419" customWidth="1" width="9.140625"/>
    <col min="2420" max="2420" customWidth="1" width="9.140625"/>
    <col min="2421" max="2421" customWidth="1" width="9.140625"/>
    <col min="2422" max="2422" customWidth="1" width="9.140625"/>
    <col min="2423" max="2423" customWidth="1" width="9.140625"/>
    <col min="2424" max="2424" customWidth="1" width="9.140625"/>
    <col min="2425" max="2425" customWidth="1" width="9.140625"/>
    <col min="2426" max="2426" customWidth="1" width="9.140625"/>
    <col min="2427" max="2427" customWidth="1" width="9.140625"/>
    <col min="2428" max="2428" customWidth="1" width="9.140625"/>
    <col min="2429" max="2429" customWidth="1" width="9.140625"/>
    <col min="2430" max="2430" customWidth="1" width="9.140625"/>
    <col min="2431" max="2431" customWidth="1" width="9.140625"/>
    <col min="2432" max="2432" customWidth="1" width="9.140625"/>
    <col min="2433" max="2433" customWidth="1" width="9.140625"/>
    <col min="2434" max="2434" customWidth="1" width="9.140625"/>
    <col min="2435" max="2435" customWidth="1" width="9.140625"/>
    <col min="2436" max="2436" customWidth="1" width="9.140625"/>
    <col min="2437" max="2437" customWidth="1" width="9.140625"/>
    <col min="2438" max="2438" customWidth="1" width="9.140625"/>
    <col min="2439" max="2439" customWidth="1" width="9.140625"/>
    <col min="2440" max="2440" customWidth="1" width="9.140625"/>
    <col min="2441" max="2441" customWidth="1" width="9.140625"/>
    <col min="2442" max="2442" customWidth="1" width="9.140625"/>
    <col min="2443" max="2443" customWidth="1" width="9.140625"/>
    <col min="2444" max="2444" customWidth="1" width="9.140625"/>
    <col min="2445" max="2445" customWidth="1" width="9.140625"/>
    <col min="2446" max="2446" customWidth="1" width="9.140625"/>
    <col min="2447" max="2447" customWidth="1" width="9.140625"/>
    <col min="2448" max="2448" customWidth="1" width="9.140625"/>
    <col min="2449" max="2449" customWidth="1" width="9.140625"/>
    <col min="2450" max="2450" customWidth="1" width="9.140625"/>
    <col min="2451" max="2451" customWidth="1" width="9.140625"/>
    <col min="2452" max="2452" customWidth="1" width="9.140625"/>
    <col min="2453" max="2453" customWidth="1" width="9.140625"/>
    <col min="2454" max="2454" customWidth="1" width="9.140625"/>
    <col min="2455" max="2455" customWidth="1" width="9.140625"/>
    <col min="2456" max="2456" customWidth="1" width="9.140625"/>
    <col min="2457" max="2457" customWidth="1" width="9.140625"/>
    <col min="2458" max="2458" customWidth="1" width="9.140625"/>
    <col min="2459" max="2459" customWidth="1" width="9.140625"/>
    <col min="2460" max="2460" customWidth="1" width="9.140625"/>
    <col min="2461" max="2461" customWidth="1" width="9.140625"/>
    <col min="2462" max="2462" customWidth="1" width="9.140625"/>
    <col min="2463" max="2463" customWidth="1" width="9.140625"/>
    <col min="2464" max="2464" customWidth="1" width="9.140625"/>
    <col min="2465" max="2465" customWidth="1" width="9.140625"/>
    <col min="2466" max="2466" customWidth="1" width="9.140625"/>
    <col min="2467" max="2467" customWidth="1" width="9.140625"/>
    <col min="2468" max="2468" customWidth="1" width="9.140625"/>
    <col min="2469" max="2469" customWidth="1" width="9.140625"/>
    <col min="2470" max="2470" customWidth="1" width="9.140625"/>
    <col min="2471" max="2471" customWidth="1" width="9.140625"/>
    <col min="2472" max="2472" customWidth="1" width="9.140625"/>
    <col min="2473" max="2473" customWidth="1" width="9.140625"/>
    <col min="2474" max="2474" customWidth="1" width="9.140625"/>
    <col min="2475" max="2475" customWidth="1" width="9.140625"/>
    <col min="2476" max="2476" customWidth="1" width="9.140625"/>
    <col min="2477" max="2477" customWidth="1" width="9.140625"/>
    <col min="2478" max="2478" customWidth="1" width="9.140625"/>
    <col min="2479" max="2479" customWidth="1" width="9.140625"/>
    <col min="2480" max="2480" customWidth="1" width="9.140625"/>
    <col min="2481" max="2481" customWidth="1" width="9.140625"/>
    <col min="2482" max="2482" customWidth="1" width="9.140625"/>
    <col min="2483" max="2483" customWidth="1" width="9.140625"/>
    <col min="2484" max="2484" customWidth="1" width="9.140625"/>
    <col min="2485" max="2485" customWidth="1" width="9.140625"/>
    <col min="2486" max="2486" customWidth="1" width="9.140625"/>
    <col min="2487" max="2487" customWidth="1" width="9.140625"/>
    <col min="2488" max="2488" customWidth="1" width="9.140625"/>
    <col min="2489" max="2489" customWidth="1" width="9.140625"/>
    <col min="2490" max="2490" customWidth="1" width="9.140625"/>
    <col min="2491" max="2491" customWidth="1" width="9.140625"/>
    <col min="2492" max="2492" customWidth="1" width="9.140625"/>
    <col min="2493" max="2493" customWidth="1" width="9.140625"/>
    <col min="2494" max="2494" customWidth="1" width="9.140625"/>
    <col min="2495" max="2495" customWidth="1" width="9.140625"/>
    <col min="2496" max="2496" customWidth="1" width="9.140625"/>
    <col min="2497" max="2497" customWidth="1" width="9.140625"/>
    <col min="2498" max="2498" customWidth="1" width="9.140625"/>
    <col min="2499" max="2499" customWidth="1" width="9.140625"/>
    <col min="2500" max="2500" customWidth="1" width="9.140625"/>
    <col min="2501" max="2501" customWidth="1" width="9.140625"/>
    <col min="2502" max="2502" customWidth="1" width="9.140625"/>
    <col min="2503" max="2503" customWidth="1" width="9.140625"/>
    <col min="2504" max="2504" customWidth="1" width="9.140625"/>
    <col min="2505" max="2505" customWidth="1" width="9.140625"/>
    <col min="2506" max="2506" customWidth="1" width="9.140625"/>
    <col min="2507" max="2507" customWidth="1" width="9.140625"/>
    <col min="2508" max="2508" customWidth="1" width="9.140625"/>
    <col min="2509" max="2509" customWidth="1" width="9.140625"/>
    <col min="2510" max="2510" customWidth="1" width="9.140625"/>
    <col min="2511" max="2511" customWidth="1" width="9.140625"/>
    <col min="2512" max="2512" customWidth="1" width="9.140625"/>
    <col min="2513" max="2513" customWidth="1" width="9.140625"/>
    <col min="2514" max="2514" customWidth="1" width="9.140625"/>
    <col min="2515" max="2515" customWidth="1" width="9.140625"/>
    <col min="2516" max="2516" customWidth="1" width="9.140625"/>
    <col min="2517" max="2517" customWidth="1" width="9.140625"/>
    <col min="2518" max="2518" customWidth="1" width="9.140625"/>
    <col min="2519" max="2519" customWidth="1" width="9.140625"/>
    <col min="2520" max="2520" customWidth="1" width="9.140625"/>
    <col min="2521" max="2521" customWidth="1" width="9.140625"/>
    <col min="2522" max="2522" customWidth="1" width="9.140625"/>
    <col min="2523" max="2523" customWidth="1" width="9.140625"/>
    <col min="2524" max="2524" customWidth="1" width="9.140625"/>
    <col min="2525" max="2525" customWidth="1" width="9.140625"/>
    <col min="2526" max="2526" customWidth="1" width="9.140625"/>
    <col min="2527" max="2527" customWidth="1" width="9.140625"/>
    <col min="2528" max="2528" customWidth="1" width="9.140625"/>
    <col min="2529" max="2529" customWidth="1" width="9.140625"/>
    <col min="2530" max="2530" customWidth="1" width="9.140625"/>
    <col min="2531" max="2531" customWidth="1" width="9.140625"/>
    <col min="2532" max="2532" customWidth="1" width="9.140625"/>
    <col min="2533" max="2533" customWidth="1" width="9.140625"/>
    <col min="2534" max="2534" customWidth="1" width="9.140625"/>
    <col min="2535" max="2535" customWidth="1" width="9.140625"/>
    <col min="2536" max="2536" customWidth="1" width="9.140625"/>
    <col min="2537" max="2537" customWidth="1" width="9.140625"/>
    <col min="2538" max="2538" customWidth="1" width="9.140625"/>
    <col min="2539" max="2539" customWidth="1" width="9.140625"/>
    <col min="2540" max="2540" customWidth="1" width="9.140625"/>
    <col min="2541" max="2541" customWidth="1" width="9.140625"/>
    <col min="2542" max="2542" customWidth="1" width="9.140625"/>
    <col min="2543" max="2543" customWidth="1" width="9.140625"/>
    <col min="2544" max="2544" customWidth="1" width="9.140625"/>
    <col min="2545" max="2545" customWidth="1" width="9.140625"/>
    <col min="2546" max="2546" customWidth="1" width="9.140625"/>
    <col min="2547" max="2547" customWidth="1" width="9.140625"/>
    <col min="2548" max="2548" customWidth="1" width="9.140625"/>
    <col min="2549" max="2549" customWidth="1" width="9.140625"/>
    <col min="2550" max="2550" customWidth="1" width="9.140625"/>
    <col min="2551" max="2551" customWidth="1" width="9.140625"/>
    <col min="2552" max="2552" customWidth="1" width="9.140625"/>
    <col min="2553" max="2553" customWidth="1" width="9.140625"/>
    <col min="2554" max="2554" customWidth="1" width="9.140625"/>
    <col min="2555" max="2555" customWidth="1" width="9.140625"/>
    <col min="2556" max="2556" customWidth="1" width="9.140625"/>
    <col min="2557" max="2557" customWidth="1" width="9.140625"/>
    <col min="2558" max="2558" customWidth="1" width="9.140625"/>
    <col min="2559" max="2559" customWidth="1" width="9.140625"/>
    <col min="2560" max="2560" customWidth="1" width="9.140625"/>
    <col min="2561" max="2561" customWidth="1" width="9.140625"/>
    <col min="2562" max="2562" customWidth="1" width="9.140625"/>
    <col min="2563" max="2563" customWidth="1" width="9.140625"/>
    <col min="2564" max="2564" customWidth="1" width="9.140625"/>
    <col min="2565" max="2565" customWidth="1" width="9.140625"/>
    <col min="2566" max="2566" customWidth="1" width="9.140625"/>
    <col min="2567" max="2567" customWidth="1" width="9.140625"/>
    <col min="2568" max="2568" customWidth="1" width="9.140625"/>
    <col min="2569" max="2569" customWidth="1" width="9.140625"/>
    <col min="2570" max="2570" customWidth="1" width="9.140625"/>
    <col min="2571" max="2571" customWidth="1" width="9.140625"/>
    <col min="2572" max="2572" customWidth="1" width="9.140625"/>
    <col min="2573" max="2573" customWidth="1" width="9.140625"/>
    <col min="2574" max="2574" customWidth="1" width="9.140625"/>
    <col min="2575" max="2575" customWidth="1" width="9.140625"/>
    <col min="2576" max="2576" customWidth="1" width="9.140625"/>
    <col min="2577" max="2577" customWidth="1" width="9.140625"/>
    <col min="2578" max="2578" customWidth="1" width="9.140625"/>
    <col min="2579" max="2579" customWidth="1" width="9.140625"/>
    <col min="2580" max="2580" customWidth="1" width="9.140625"/>
    <col min="2581" max="2581" customWidth="1" width="9.140625"/>
    <col min="2582" max="2582" customWidth="1" width="9.140625"/>
    <col min="2583" max="2583" customWidth="1" width="9.140625"/>
    <col min="2584" max="2584" customWidth="1" width="9.140625"/>
    <col min="2585" max="2585" customWidth="1" width="9.140625"/>
    <col min="2586" max="2586" customWidth="1" width="9.140625"/>
    <col min="2587" max="2587" customWidth="1" width="9.140625"/>
    <col min="2588" max="2588" customWidth="1" width="9.140625"/>
    <col min="2589" max="2589" customWidth="1" width="9.140625"/>
    <col min="2590" max="2590" customWidth="1" width="9.140625"/>
    <col min="2591" max="2591" customWidth="1" width="9.140625"/>
    <col min="2592" max="2592" customWidth="1" width="9.140625"/>
    <col min="2593" max="2593" customWidth="1" width="9.140625"/>
    <col min="2594" max="2594" customWidth="1" width="9.140625"/>
    <col min="2595" max="2595" customWidth="1" width="9.140625"/>
    <col min="2596" max="2596" customWidth="1" width="9.140625"/>
    <col min="2597" max="2597" customWidth="1" width="9.140625"/>
    <col min="2598" max="2598" customWidth="1" width="9.140625"/>
    <col min="2599" max="2599" customWidth="1" width="9.140625"/>
    <col min="2600" max="2600" customWidth="1" width="9.140625"/>
    <col min="2601" max="2601" customWidth="1" width="9.140625"/>
    <col min="2602" max="2602" customWidth="1" width="9.140625"/>
    <col min="2603" max="2603" customWidth="1" width="9.140625"/>
    <col min="2604" max="2604" customWidth="1" width="9.140625"/>
    <col min="2605" max="2605" customWidth="1" width="9.140625"/>
    <col min="2606" max="2606" customWidth="1" width="9.140625"/>
    <col min="2607" max="2607" customWidth="1" width="9.140625"/>
    <col min="2608" max="2608" customWidth="1" width="9.140625"/>
    <col min="2609" max="2609" customWidth="1" width="9.140625"/>
    <col min="2610" max="2610" customWidth="1" width="9.140625"/>
    <col min="2611" max="2611" customWidth="1" width="9.140625"/>
    <col min="2612" max="2612" customWidth="1" width="9.140625"/>
    <col min="2613" max="2613" customWidth="1" width="9.140625"/>
    <col min="2614" max="2614" customWidth="1" width="9.140625"/>
    <col min="2615" max="2615" customWidth="1" width="9.140625"/>
    <col min="2616" max="2616" customWidth="1" width="9.140625"/>
    <col min="2617" max="2617" customWidth="1" width="9.140625"/>
    <col min="2618" max="2618" customWidth="1" width="9.140625"/>
    <col min="2619" max="2619" customWidth="1" width="9.140625"/>
    <col min="2620" max="2620" customWidth="1" width="9.140625"/>
    <col min="2621" max="2621" customWidth="1" width="9.140625"/>
    <col min="2622" max="2622" customWidth="1" width="9.140625"/>
    <col min="2623" max="2623" customWidth="1" width="9.140625"/>
    <col min="2624" max="2624" customWidth="1" width="9.140625"/>
    <col min="2625" max="2625" customWidth="1" width="9.140625"/>
    <col min="2626" max="2626" customWidth="1" width="9.140625"/>
    <col min="2627" max="2627" customWidth="1" width="9.140625"/>
    <col min="2628" max="2628" customWidth="1" width="9.140625"/>
    <col min="2629" max="2629" customWidth="1" width="9.140625"/>
    <col min="2630" max="2630" customWidth="1" width="9.140625"/>
    <col min="2631" max="2631" customWidth="1" width="9.140625"/>
    <col min="2632" max="2632" customWidth="1" width="9.140625"/>
    <col min="2633" max="2633" customWidth="1" width="9.140625"/>
    <col min="2634" max="2634" customWidth="1" width="9.140625"/>
    <col min="2635" max="2635" customWidth="1" width="9.140625"/>
    <col min="2636" max="2636" customWidth="1" width="9.140625"/>
    <col min="2637" max="2637" customWidth="1" width="9.140625"/>
    <col min="2638" max="2638" customWidth="1" width="9.140625"/>
    <col min="2639" max="2639" customWidth="1" width="9.140625"/>
    <col min="2640" max="2640" customWidth="1" width="9.140625"/>
    <col min="2641" max="2641" customWidth="1" width="9.140625"/>
    <col min="2642" max="2642" customWidth="1" width="9.140625"/>
    <col min="2643" max="2643" customWidth="1" width="9.140625"/>
    <col min="2644" max="2644" customWidth="1" width="9.140625"/>
    <col min="2645" max="2645" customWidth="1" width="9.140625"/>
    <col min="2646" max="2646" customWidth="1" width="9.140625"/>
    <col min="2647" max="2647" customWidth="1" width="9.140625"/>
    <col min="2648" max="2648" customWidth="1" width="9.140625"/>
    <col min="2649" max="2649" customWidth="1" width="9.140625"/>
    <col min="2650" max="2650" customWidth="1" width="9.140625"/>
    <col min="2651" max="2651" customWidth="1" width="9.140625"/>
    <col min="2652" max="2652" customWidth="1" width="9.140625"/>
    <col min="2653" max="2653" customWidth="1" width="9.140625"/>
    <col min="2654" max="2654" customWidth="1" width="9.140625"/>
    <col min="2655" max="2655" customWidth="1" width="9.140625"/>
    <col min="2656" max="2656" customWidth="1" width="9.140625"/>
    <col min="2657" max="2657" customWidth="1" width="9.140625"/>
    <col min="2658" max="2658" customWidth="1" width="9.140625"/>
    <col min="2659" max="2659" customWidth="1" width="9.140625"/>
    <col min="2660" max="2660" customWidth="1" width="9.140625"/>
    <col min="2661" max="2661" customWidth="1" width="9.140625"/>
    <col min="2662" max="2662" customWidth="1" width="9.140625"/>
    <col min="2663" max="2663" customWidth="1" width="9.140625"/>
    <col min="2664" max="2664" customWidth="1" width="9.140625"/>
    <col min="2665" max="2665" customWidth="1" width="9.140625"/>
    <col min="2666" max="2666" customWidth="1" width="9.140625"/>
    <col min="2667" max="2667" customWidth="1" width="9.140625"/>
    <col min="2668" max="2668" customWidth="1" width="9.140625"/>
    <col min="2669" max="2669" customWidth="1" width="9.140625"/>
    <col min="2670" max="2670" customWidth="1" width="9.140625"/>
    <col min="2671" max="2671" customWidth="1" width="9.140625"/>
    <col min="2672" max="2672" customWidth="1" width="9.140625"/>
    <col min="2673" max="2673" customWidth="1" width="9.140625"/>
    <col min="2674" max="2674" customWidth="1" width="9.140625"/>
    <col min="2675" max="2675" customWidth="1" width="9.140625"/>
    <col min="2676" max="2676" customWidth="1" width="9.140625"/>
    <col min="2677" max="2677" customWidth="1" width="9.140625"/>
    <col min="2678" max="2678" customWidth="1" width="9.140625"/>
    <col min="2679" max="2679" customWidth="1" width="9.140625"/>
    <col min="2680" max="2680" customWidth="1" width="9.140625"/>
    <col min="2681" max="2681" customWidth="1" width="9.140625"/>
    <col min="2682" max="2682" customWidth="1" width="9.140625"/>
    <col min="2683" max="2683" customWidth="1" width="9.140625"/>
    <col min="2684" max="2684" customWidth="1" width="9.140625"/>
    <col min="2685" max="2685" customWidth="1" width="9.140625"/>
    <col min="2686" max="2686" customWidth="1" width="9.140625"/>
    <col min="2687" max="2687" customWidth="1" width="9.140625"/>
    <col min="2688" max="2688" customWidth="1" width="9.140625"/>
    <col min="2689" max="2689" customWidth="1" width="9.140625"/>
    <col min="2690" max="2690" customWidth="1" width="9.140625"/>
    <col min="2691" max="2691" customWidth="1" width="9.140625"/>
    <col min="2692" max="2692" customWidth="1" width="9.140625"/>
    <col min="2693" max="2693" customWidth="1" width="9.140625"/>
    <col min="2694" max="2694" customWidth="1" width="9.140625"/>
    <col min="2695" max="2695" customWidth="1" width="9.140625"/>
    <col min="2696" max="2696" customWidth="1" width="9.140625"/>
    <col min="2697" max="2697" customWidth="1" width="9.140625"/>
    <col min="2698" max="2698" customWidth="1" width="9.140625"/>
    <col min="2699" max="2699" customWidth="1" width="9.140625"/>
    <col min="2700" max="2700" customWidth="1" width="9.140625"/>
    <col min="2701" max="2701" customWidth="1" width="9.140625"/>
    <col min="2702" max="2702" customWidth="1" width="9.140625"/>
    <col min="2703" max="2703" customWidth="1" width="9.140625"/>
    <col min="2704" max="2704" customWidth="1" width="9.140625"/>
    <col min="2705" max="2705" customWidth="1" width="9.140625"/>
    <col min="2706" max="2706" customWidth="1" width="9.140625"/>
    <col min="2707" max="2707" customWidth="1" width="9.140625"/>
    <col min="2708" max="2708" customWidth="1" width="9.140625"/>
    <col min="2709" max="2709" customWidth="1" width="9.140625"/>
    <col min="2710" max="2710" customWidth="1" width="9.140625"/>
    <col min="2711" max="2711" customWidth="1" width="9.140625"/>
    <col min="2712" max="2712" customWidth="1" width="9.140625"/>
    <col min="2713" max="2713" customWidth="1" width="9.140625"/>
    <col min="2714" max="2714" customWidth="1" width="9.140625"/>
    <col min="2715" max="2715" customWidth="1" width="9.140625"/>
    <col min="2716" max="2716" customWidth="1" width="9.140625"/>
    <col min="2717" max="2717" customWidth="1" width="9.140625"/>
    <col min="2718" max="2718" customWidth="1" width="9.140625"/>
    <col min="2719" max="2719" customWidth="1" width="9.140625"/>
    <col min="2720" max="2720" customWidth="1" width="9.140625"/>
    <col min="2721" max="2721" customWidth="1" width="9.140625"/>
    <col min="2722" max="2722" customWidth="1" width="9.140625"/>
    <col min="2723" max="2723" customWidth="1" width="9.140625"/>
    <col min="2724" max="2724" customWidth="1" width="9.140625"/>
    <col min="2725" max="2725" customWidth="1" width="9.140625"/>
    <col min="2726" max="2726" customWidth="1" width="9.140625"/>
    <col min="2727" max="2727" customWidth="1" width="9.140625"/>
    <col min="2728" max="2728" customWidth="1" width="9.140625"/>
    <col min="2729" max="2729" customWidth="1" width="9.140625"/>
    <col min="2730" max="2730" customWidth="1" width="9.140625"/>
    <col min="2731" max="2731" customWidth="1" width="9.140625"/>
    <col min="2732" max="2732" customWidth="1" width="9.140625"/>
    <col min="2733" max="2733" customWidth="1" width="9.140625"/>
    <col min="2734" max="2734" customWidth="1" width="9.140625"/>
    <col min="2735" max="2735" customWidth="1" width="9.140625"/>
    <col min="2736" max="2736" customWidth="1" width="9.140625"/>
    <col min="2737" max="2737" customWidth="1" width="9.140625"/>
    <col min="2738" max="2738" customWidth="1" width="9.140625"/>
    <col min="2739" max="2739" customWidth="1" width="9.140625"/>
    <col min="2740" max="2740" customWidth="1" width="9.140625"/>
    <col min="2741" max="2741" customWidth="1" width="9.140625"/>
    <col min="2742" max="2742" customWidth="1" width="9.140625"/>
    <col min="2743" max="2743" customWidth="1" width="9.140625"/>
    <col min="2744" max="2744" customWidth="1" width="9.140625"/>
    <col min="2745" max="2745" customWidth="1" width="9.140625"/>
    <col min="2746" max="2746" customWidth="1" width="9.140625"/>
    <col min="2747" max="2747" customWidth="1" width="9.140625"/>
    <col min="2748" max="2748" customWidth="1" width="9.140625"/>
    <col min="2749" max="2749" customWidth="1" width="9.140625"/>
    <col min="2750" max="2750" customWidth="1" width="9.140625"/>
    <col min="2751" max="2751" customWidth="1" width="9.140625"/>
    <col min="2752" max="2752" customWidth="1" width="9.140625"/>
    <col min="2753" max="2753" customWidth="1" width="9.140625"/>
    <col min="2754" max="2754" customWidth="1" width="9.140625"/>
    <col min="2755" max="2755" customWidth="1" width="9.140625"/>
    <col min="2756" max="2756" customWidth="1" width="9.140625"/>
    <col min="2757" max="2757" customWidth="1" width="9.140625"/>
    <col min="2758" max="2758" customWidth="1" width="9.140625"/>
    <col min="2759" max="2759" customWidth="1" width="9.140625"/>
    <col min="2760" max="2760" customWidth="1" width="9.140625"/>
    <col min="2761" max="2761" customWidth="1" width="9.140625"/>
    <col min="2762" max="2762" customWidth="1" width="9.140625"/>
    <col min="2763" max="2763" customWidth="1" width="9.140625"/>
    <col min="2764" max="2764" customWidth="1" width="9.140625"/>
    <col min="2765" max="2765" customWidth="1" width="9.140625"/>
    <col min="2766" max="2766" customWidth="1" width="9.140625"/>
    <col min="2767" max="2767" customWidth="1" width="9.140625"/>
    <col min="2768" max="2768" customWidth="1" width="9.140625"/>
    <col min="2769" max="2769" customWidth="1" width="9.140625"/>
    <col min="2770" max="2770" customWidth="1" width="9.140625"/>
    <col min="2771" max="2771" customWidth="1" width="9.140625"/>
    <col min="2772" max="2772" customWidth="1" width="9.140625"/>
    <col min="2773" max="2773" customWidth="1" width="9.140625"/>
    <col min="2774" max="2774" customWidth="1" width="9.140625"/>
    <col min="2775" max="2775" customWidth="1" width="9.140625"/>
    <col min="2776" max="2776" customWidth="1" width="9.140625"/>
    <col min="2777" max="2777" customWidth="1" width="9.140625"/>
    <col min="2778" max="2778" customWidth="1" width="9.140625"/>
    <col min="2779" max="2779" customWidth="1" width="9.140625"/>
    <col min="2780" max="2780" customWidth="1" width="9.140625"/>
    <col min="2781" max="2781" customWidth="1" width="9.140625"/>
    <col min="2782" max="2782" customWidth="1" width="9.140625"/>
    <col min="2783" max="2783" customWidth="1" width="9.140625"/>
    <col min="2784" max="2784" customWidth="1" width="9.140625"/>
    <col min="2785" max="2785" customWidth="1" width="9.140625"/>
    <col min="2786" max="2786" customWidth="1" width="9.140625"/>
    <col min="2787" max="2787" customWidth="1" width="9.140625"/>
    <col min="2788" max="2788" customWidth="1" width="9.140625"/>
    <col min="2789" max="2789" customWidth="1" width="9.140625"/>
    <col min="2790" max="2790" customWidth="1" width="9.140625"/>
    <col min="2791" max="2791" customWidth="1" width="9.140625"/>
    <col min="2792" max="2792" customWidth="1" width="9.140625"/>
    <col min="2793" max="2793" customWidth="1" width="9.140625"/>
    <col min="2794" max="2794" customWidth="1" width="9.140625"/>
    <col min="2795" max="2795" customWidth="1" width="9.140625"/>
    <col min="2796" max="2796" customWidth="1" width="9.140625"/>
    <col min="2797" max="2797" customWidth="1" width="9.140625"/>
    <col min="2798" max="2798" customWidth="1" width="9.140625"/>
    <col min="2799" max="2799" customWidth="1" width="9.140625"/>
    <col min="2800" max="2800" customWidth="1" width="9.140625"/>
    <col min="2801" max="2801" customWidth="1" width="9.140625"/>
    <col min="2802" max="2802" customWidth="1" width="9.140625"/>
    <col min="2803" max="2803" customWidth="1" width="9.140625"/>
    <col min="2804" max="2804" customWidth="1" width="9.140625"/>
    <col min="2805" max="2805" customWidth="1" width="9.140625"/>
    <col min="2806" max="2806" customWidth="1" width="9.140625"/>
    <col min="2807" max="2807" customWidth="1" width="9.140625"/>
    <col min="2808" max="2808" customWidth="1" width="9.140625"/>
    <col min="2809" max="2809" customWidth="1" width="9.140625"/>
    <col min="2810" max="2810" customWidth="1" width="9.140625"/>
    <col min="2811" max="2811" customWidth="1" width="9.140625"/>
    <col min="2812" max="2812" customWidth="1" width="9.140625"/>
    <col min="2813" max="2813" customWidth="1" width="9.140625"/>
    <col min="2814" max="2814" customWidth="1" width="9.140625"/>
    <col min="2815" max="2815" customWidth="1" width="9.140625"/>
    <col min="2816" max="2816" customWidth="1" width="9.140625"/>
    <col min="2817" max="2817" customWidth="1" width="9.140625"/>
    <col min="2818" max="2818" customWidth="1" width="9.140625"/>
    <col min="2819" max="2819" customWidth="1" width="9.140625"/>
    <col min="2820" max="2820" customWidth="1" width="9.140625"/>
    <col min="2821" max="2821" customWidth="1" width="9.140625"/>
    <col min="2822" max="2822" customWidth="1" width="9.140625"/>
    <col min="2823" max="2823" customWidth="1" width="9.140625"/>
    <col min="2824" max="2824" customWidth="1" width="9.140625"/>
    <col min="2825" max="2825" customWidth="1" width="9.140625"/>
    <col min="2826" max="2826" customWidth="1" width="9.140625"/>
    <col min="2827" max="2827" customWidth="1" width="9.140625"/>
    <col min="2828" max="2828" customWidth="1" width="9.140625"/>
    <col min="2829" max="2829" customWidth="1" width="9.140625"/>
    <col min="2830" max="2830" customWidth="1" width="9.140625"/>
    <col min="2831" max="2831" customWidth="1" width="9.140625"/>
    <col min="2832" max="2832" customWidth="1" width="9.140625"/>
    <col min="2833" max="2833" customWidth="1" width="9.140625"/>
    <col min="2834" max="2834" customWidth="1" width="9.140625"/>
    <col min="2835" max="2835" customWidth="1" width="9.140625"/>
    <col min="2836" max="2836" customWidth="1" width="9.140625"/>
    <col min="2837" max="2837" customWidth="1" width="9.140625"/>
    <col min="2838" max="2838" customWidth="1" width="9.140625"/>
    <col min="2839" max="2839" customWidth="1" width="9.140625"/>
    <col min="2840" max="2840" customWidth="1" width="9.140625"/>
    <col min="2841" max="2841" customWidth="1" width="9.140625"/>
    <col min="2842" max="2842" customWidth="1" width="9.140625"/>
    <col min="2843" max="2843" customWidth="1" width="9.140625"/>
    <col min="2844" max="2844" customWidth="1" width="9.140625"/>
    <col min="2845" max="2845" customWidth="1" width="9.140625"/>
    <col min="2846" max="2846" customWidth="1" width="9.140625"/>
    <col min="2847" max="2847" customWidth="1" width="9.140625"/>
    <col min="2848" max="2848" customWidth="1" width="9.140625"/>
    <col min="2849" max="2849" customWidth="1" width="9.140625"/>
    <col min="2850" max="2850" customWidth="1" width="9.140625"/>
    <col min="2851" max="2851" customWidth="1" width="9.140625"/>
    <col min="2852" max="2852" customWidth="1" width="9.140625"/>
    <col min="2853" max="2853" customWidth="1" width="9.140625"/>
    <col min="2854" max="2854" customWidth="1" width="9.140625"/>
    <col min="2855" max="2855" customWidth="1" width="9.140625"/>
    <col min="2856" max="2856" customWidth="1" width="9.140625"/>
    <col min="2857" max="2857" customWidth="1" width="9.140625"/>
    <col min="2858" max="2858" customWidth="1" width="9.140625"/>
    <col min="2859" max="2859" customWidth="1" width="9.140625"/>
    <col min="2860" max="2860" customWidth="1" width="9.140625"/>
    <col min="2861" max="2861" customWidth="1" width="9.140625"/>
    <col min="2862" max="2862" customWidth="1" width="9.140625"/>
    <col min="2863" max="2863" customWidth="1" width="9.140625"/>
    <col min="2864" max="2864" customWidth="1" width="9.140625"/>
    <col min="2865" max="2865" customWidth="1" width="9.140625"/>
    <col min="2866" max="2866" customWidth="1" width="9.140625"/>
    <col min="2867" max="2867" customWidth="1" width="9.140625"/>
    <col min="2868" max="2868" customWidth="1" width="9.140625"/>
    <col min="2869" max="2869" customWidth="1" width="9.140625"/>
    <col min="2870" max="2870" customWidth="1" width="9.140625"/>
    <col min="2871" max="2871" customWidth="1" width="9.140625"/>
    <col min="2872" max="2872" customWidth="1" width="9.140625"/>
    <col min="2873" max="2873" customWidth="1" width="9.140625"/>
    <col min="2874" max="2874" customWidth="1" width="9.140625"/>
    <col min="2875" max="2875" customWidth="1" width="9.140625"/>
    <col min="2876" max="2876" customWidth="1" width="9.140625"/>
    <col min="2877" max="2877" customWidth="1" width="9.140625"/>
    <col min="2878" max="2878" customWidth="1" width="9.140625"/>
    <col min="2879" max="2879" customWidth="1" width="9.140625"/>
    <col min="2880" max="2880" customWidth="1" width="9.140625"/>
    <col min="2881" max="2881" customWidth="1" width="9.140625"/>
    <col min="2882" max="2882" customWidth="1" width="9.140625"/>
    <col min="2883" max="2883" customWidth="1" width="9.140625"/>
    <col min="2884" max="2884" customWidth="1" width="9.140625"/>
    <col min="2885" max="2885" customWidth="1" width="9.140625"/>
    <col min="2886" max="2886" customWidth="1" width="9.140625"/>
    <col min="2887" max="2887" customWidth="1" width="9.140625"/>
    <col min="2888" max="2888" customWidth="1" width="9.140625"/>
    <col min="2889" max="2889" customWidth="1" width="9.140625"/>
    <col min="2890" max="2890" customWidth="1" width="9.140625"/>
    <col min="2891" max="2891" customWidth="1" width="9.140625"/>
    <col min="2892" max="2892" customWidth="1" width="9.140625"/>
    <col min="2893" max="2893" customWidth="1" width="9.140625"/>
    <col min="2894" max="2894" customWidth="1" width="9.140625"/>
    <col min="2895" max="2895" customWidth="1" width="9.140625"/>
    <col min="2896" max="2896" customWidth="1" width="9.140625"/>
    <col min="2897" max="2897" customWidth="1" width="9.140625"/>
    <col min="2898" max="2898" customWidth="1" width="9.140625"/>
    <col min="2899" max="2899" customWidth="1" width="9.140625"/>
    <col min="2900" max="2900" customWidth="1" width="9.140625"/>
    <col min="2901" max="2901" customWidth="1" width="9.140625"/>
    <col min="2902" max="2902" customWidth="1" width="9.140625"/>
    <col min="2903" max="2903" customWidth="1" width="9.140625"/>
    <col min="2904" max="2904" customWidth="1" width="9.140625"/>
    <col min="2905" max="2905" customWidth="1" width="9.140625"/>
    <col min="2906" max="2906" customWidth="1" width="9.140625"/>
    <col min="2907" max="2907" customWidth="1" width="9.140625"/>
    <col min="2908" max="2908" customWidth="1" width="9.140625"/>
    <col min="2909" max="2909" customWidth="1" width="9.140625"/>
    <col min="2910" max="2910" customWidth="1" width="9.140625"/>
    <col min="2911" max="2911" customWidth="1" width="9.140625"/>
    <col min="2912" max="2912" customWidth="1" width="9.140625"/>
    <col min="2913" max="2913" customWidth="1" width="9.140625"/>
    <col min="2914" max="2914" customWidth="1" width="9.140625"/>
    <col min="2915" max="2915" customWidth="1" width="9.140625"/>
    <col min="2916" max="2916" customWidth="1" width="9.140625"/>
    <col min="2917" max="2917" customWidth="1" width="9.140625"/>
    <col min="2918" max="2918" customWidth="1" width="9.140625"/>
    <col min="2919" max="2919" customWidth="1" width="9.140625"/>
    <col min="2920" max="2920" customWidth="1" width="9.140625"/>
    <col min="2921" max="2921" customWidth="1" width="9.140625"/>
    <col min="2922" max="2922" customWidth="1" width="9.140625"/>
    <col min="2923" max="2923" customWidth="1" width="9.140625"/>
    <col min="2924" max="2924" customWidth="1" width="9.140625"/>
    <col min="2925" max="2925" customWidth="1" width="9.140625"/>
    <col min="2926" max="2926" customWidth="1" width="9.140625"/>
    <col min="2927" max="2927" customWidth="1" width="9.140625"/>
    <col min="2928" max="2928" customWidth="1" width="9.140625"/>
    <col min="2929" max="2929" customWidth="1" width="9.140625"/>
    <col min="2930" max="2930" customWidth="1" width="9.140625"/>
    <col min="2931" max="2931" customWidth="1" width="9.140625"/>
    <col min="2932" max="2932" customWidth="1" width="9.140625"/>
    <col min="2933" max="2933" customWidth="1" width="9.140625"/>
    <col min="2934" max="2934" customWidth="1" width="9.140625"/>
    <col min="2935" max="2935" customWidth="1" width="9.140625"/>
    <col min="2936" max="2936" customWidth="1" width="9.140625"/>
    <col min="2937" max="2937" customWidth="1" width="9.140625"/>
    <col min="2938" max="2938" customWidth="1" width="9.140625"/>
    <col min="2939" max="2939" customWidth="1" width="9.140625"/>
    <col min="2940" max="2940" customWidth="1" width="9.140625"/>
    <col min="2941" max="2941" customWidth="1" width="9.140625"/>
    <col min="2942" max="2942" customWidth="1" width="9.140625"/>
    <col min="2943" max="2943" customWidth="1" width="9.140625"/>
    <col min="2944" max="2944" customWidth="1" width="9.140625"/>
    <col min="2945" max="2945" customWidth="1" width="9.140625"/>
    <col min="2946" max="2946" customWidth="1" width="9.140625"/>
    <col min="2947" max="2947" customWidth="1" width="9.140625"/>
    <col min="2948" max="2948" customWidth="1" width="9.140625"/>
    <col min="2949" max="2949" customWidth="1" width="9.140625"/>
    <col min="2950" max="2950" customWidth="1" width="9.140625"/>
    <col min="2951" max="2951" customWidth="1" width="9.140625"/>
    <col min="2952" max="2952" customWidth="1" width="9.140625"/>
    <col min="2953" max="2953" customWidth="1" width="9.140625"/>
    <col min="2954" max="2954" customWidth="1" width="9.140625"/>
    <col min="2955" max="2955" customWidth="1" width="9.140625"/>
    <col min="2956" max="2956" customWidth="1" width="9.140625"/>
    <col min="2957" max="2957" customWidth="1" width="9.140625"/>
    <col min="2958" max="2958" customWidth="1" width="9.140625"/>
    <col min="2959" max="2959" customWidth="1" width="9.140625"/>
    <col min="2960" max="2960" customWidth="1" width="9.140625"/>
    <col min="2961" max="2961" customWidth="1" width="9.140625"/>
    <col min="2962" max="2962" customWidth="1" width="9.140625"/>
    <col min="2963" max="2963" customWidth="1" width="9.140625"/>
    <col min="2964" max="2964" customWidth="1" width="9.140625"/>
    <col min="2965" max="2965" customWidth="1" width="9.140625"/>
    <col min="2966" max="2966" customWidth="1" width="9.140625"/>
    <col min="2967" max="2967" customWidth="1" width="9.140625"/>
    <col min="2968" max="2968" customWidth="1" width="9.140625"/>
    <col min="2969" max="2969" customWidth="1" width="9.140625"/>
    <col min="2970" max="2970" customWidth="1" width="9.140625"/>
    <col min="2971" max="2971" customWidth="1" width="9.140625"/>
    <col min="2972" max="2972" customWidth="1" width="9.140625"/>
    <col min="2973" max="2973" customWidth="1" width="9.140625"/>
    <col min="2974" max="2974" customWidth="1" width="9.140625"/>
    <col min="2975" max="2975" customWidth="1" width="9.140625"/>
    <col min="2976" max="2976" customWidth="1" width="9.140625"/>
    <col min="2977" max="2977" customWidth="1" width="9.140625"/>
    <col min="2978" max="2978" customWidth="1" width="9.140625"/>
    <col min="2979" max="2979" customWidth="1" width="9.140625"/>
    <col min="2980" max="2980" customWidth="1" width="9.140625"/>
    <col min="2981" max="2981" customWidth="1" width="9.140625"/>
    <col min="2982" max="2982" customWidth="1" width="9.140625"/>
    <col min="2983" max="2983" customWidth="1" width="9.140625"/>
    <col min="2984" max="2984" customWidth="1" width="9.140625"/>
    <col min="2985" max="2985" customWidth="1" width="9.140625"/>
    <col min="2986" max="2986" customWidth="1" width="9.140625"/>
    <col min="2987" max="2987" customWidth="1" width="9.140625"/>
    <col min="2988" max="2988" customWidth="1" width="9.140625"/>
    <col min="2989" max="2989" customWidth="1" width="9.140625"/>
    <col min="2990" max="2990" customWidth="1" width="9.140625"/>
    <col min="2991" max="2991" customWidth="1" width="9.140625"/>
    <col min="2992" max="2992" customWidth="1" width="9.140625"/>
    <col min="2993" max="2993" customWidth="1" width="9.140625"/>
    <col min="2994" max="2994" customWidth="1" width="9.140625"/>
    <col min="2995" max="2995" customWidth="1" width="9.140625"/>
    <col min="2996" max="2996" customWidth="1" width="9.140625"/>
    <col min="2997" max="2997" customWidth="1" width="9.140625"/>
    <col min="2998" max="2998" customWidth="1" width="9.140625"/>
    <col min="2999" max="2999" customWidth="1" width="9.140625"/>
    <col min="3000" max="3000" customWidth="1" width="9.140625"/>
    <col min="3001" max="3001" customWidth="1" width="9.140625"/>
    <col min="3002" max="3002" customWidth="1" width="9.140625"/>
    <col min="3003" max="3003" customWidth="1" width="9.140625"/>
    <col min="3004" max="3004" customWidth="1" width="9.140625"/>
    <col min="3005" max="3005" customWidth="1" width="9.140625"/>
    <col min="3006" max="3006" customWidth="1" width="9.140625"/>
    <col min="3007" max="3007" customWidth="1" width="9.140625"/>
    <col min="3008" max="3008" customWidth="1" width="9.140625"/>
    <col min="3009" max="3009" customWidth="1" width="9.140625"/>
    <col min="3010" max="3010" customWidth="1" width="9.140625"/>
    <col min="3011" max="3011" customWidth="1" width="9.140625"/>
    <col min="3012" max="3012" customWidth="1" width="9.140625"/>
    <col min="3013" max="3013" customWidth="1" width="9.140625"/>
    <col min="3014" max="3014" customWidth="1" width="9.140625"/>
    <col min="3015" max="3015" customWidth="1" width="9.140625"/>
    <col min="3016" max="3016" customWidth="1" width="9.140625"/>
    <col min="3017" max="3017" customWidth="1" width="9.140625"/>
    <col min="3018" max="3018" customWidth="1" width="9.140625"/>
    <col min="3019" max="3019" customWidth="1" width="9.140625"/>
    <col min="3020" max="3020" customWidth="1" width="9.140625"/>
    <col min="3021" max="3021" customWidth="1" width="9.140625"/>
    <col min="3022" max="3022" customWidth="1" width="9.140625"/>
    <col min="3023" max="3023" customWidth="1" width="9.140625"/>
    <col min="3024" max="3024" customWidth="1" width="9.140625"/>
    <col min="3025" max="3025" customWidth="1" width="9.140625"/>
    <col min="3026" max="3026" customWidth="1" width="9.140625"/>
    <col min="3027" max="3027" customWidth="1" width="9.140625"/>
    <col min="3028" max="3028" customWidth="1" width="9.140625"/>
    <col min="3029" max="3029" customWidth="1" width="9.140625"/>
    <col min="3030" max="3030" customWidth="1" width="9.140625"/>
    <col min="3031" max="3031" customWidth="1" width="9.140625"/>
    <col min="3032" max="3032" customWidth="1" width="9.140625"/>
    <col min="3033" max="3033" customWidth="1" width="9.140625"/>
    <col min="3034" max="3034" customWidth="1" width="9.140625"/>
    <col min="3035" max="3035" customWidth="1" width="9.140625"/>
    <col min="3036" max="3036" customWidth="1" width="9.140625"/>
    <col min="3037" max="3037" customWidth="1" width="9.140625"/>
    <col min="3038" max="3038" customWidth="1" width="9.140625"/>
    <col min="3039" max="3039" customWidth="1" width="9.140625"/>
    <col min="3040" max="3040" customWidth="1" width="9.140625"/>
    <col min="3041" max="3041" customWidth="1" width="9.140625"/>
    <col min="3042" max="3042" customWidth="1" width="9.140625"/>
    <col min="3043" max="3043" customWidth="1" width="9.140625"/>
    <col min="3044" max="3044" customWidth="1" width="9.140625"/>
    <col min="3045" max="3045" customWidth="1" width="9.140625"/>
    <col min="3046" max="3046" customWidth="1" width="9.140625"/>
    <col min="3047" max="3047" customWidth="1" width="9.140625"/>
    <col min="3048" max="3048" customWidth="1" width="9.140625"/>
    <col min="3049" max="3049" customWidth="1" width="9.140625"/>
    <col min="3050" max="3050" customWidth="1" width="9.140625"/>
    <col min="3051" max="3051" customWidth="1" width="9.140625"/>
    <col min="3052" max="3052" customWidth="1" width="9.140625"/>
    <col min="3053" max="3053" customWidth="1" width="9.140625"/>
    <col min="3054" max="3054" customWidth="1" width="9.140625"/>
    <col min="3055" max="3055" customWidth="1" width="9.140625"/>
    <col min="3056" max="3056" customWidth="1" width="9.140625"/>
    <col min="3057" max="3057" customWidth="1" width="9.140625"/>
    <col min="3058" max="3058" customWidth="1" width="9.140625"/>
    <col min="3059" max="3059" customWidth="1" width="9.140625"/>
    <col min="3060" max="3060" customWidth="1" width="9.140625"/>
    <col min="3061" max="3061" customWidth="1" width="9.140625"/>
    <col min="3062" max="3062" customWidth="1" width="9.140625"/>
    <col min="3063" max="3063" customWidth="1" width="9.140625"/>
    <col min="3064" max="3064" customWidth="1" width="9.140625"/>
    <col min="3065" max="3065" customWidth="1" width="9.140625"/>
    <col min="3066" max="3066" customWidth="1" width="9.140625"/>
    <col min="3067" max="3067" customWidth="1" width="9.140625"/>
    <col min="3068" max="3068" customWidth="1" width="9.140625"/>
    <col min="3069" max="3069" customWidth="1" width="9.140625"/>
    <col min="3070" max="3070" customWidth="1" width="9.140625"/>
    <col min="3071" max="3071" customWidth="1" width="9.140625"/>
    <col min="3072" max="3072" customWidth="1" width="9.140625"/>
    <col min="3073" max="3073" customWidth="1" width="9.140625"/>
    <col min="3074" max="3074" customWidth="1" width="9.140625"/>
    <col min="3075" max="3075" customWidth="1" width="9.140625"/>
    <col min="3076" max="3076" customWidth="1" width="9.140625"/>
    <col min="3077" max="3077" customWidth="1" width="9.140625"/>
    <col min="3078" max="3078" customWidth="1" width="9.140625"/>
    <col min="3079" max="3079" customWidth="1" width="9.140625"/>
    <col min="3080" max="3080" customWidth="1" width="9.140625"/>
    <col min="3081" max="3081" customWidth="1" width="9.140625"/>
    <col min="3082" max="3082" customWidth="1" width="9.140625"/>
    <col min="3083" max="3083" customWidth="1" width="9.140625"/>
    <col min="3084" max="3084" customWidth="1" width="9.140625"/>
    <col min="3085" max="3085" customWidth="1" width="9.140625"/>
    <col min="3086" max="3086" customWidth="1" width="9.140625"/>
    <col min="3087" max="3087" customWidth="1" width="9.140625"/>
    <col min="3088" max="3088" customWidth="1" width="9.140625"/>
    <col min="3089" max="3089" customWidth="1" width="9.140625"/>
    <col min="3090" max="3090" customWidth="1" width="9.140625"/>
    <col min="3091" max="3091" customWidth="1" width="9.140625"/>
    <col min="3092" max="3092" customWidth="1" width="9.140625"/>
    <col min="3093" max="3093" customWidth="1" width="9.140625"/>
    <col min="3094" max="3094" customWidth="1" width="9.140625"/>
    <col min="3095" max="3095" customWidth="1" width="9.140625"/>
    <col min="3096" max="3096" customWidth="1" width="9.140625"/>
    <col min="3097" max="3097" customWidth="1" width="9.140625"/>
    <col min="3098" max="3098" customWidth="1" width="9.140625"/>
    <col min="3099" max="3099" customWidth="1" width="9.140625"/>
    <col min="3100" max="3100" customWidth="1" width="9.140625"/>
    <col min="3101" max="3101" customWidth="1" width="9.140625"/>
    <col min="3102" max="3102" customWidth="1" width="9.140625"/>
    <col min="3103" max="3103" customWidth="1" width="9.140625"/>
    <col min="3104" max="3104" customWidth="1" width="9.140625"/>
    <col min="3105" max="3105" customWidth="1" width="9.140625"/>
    <col min="3106" max="3106" customWidth="1" width="9.140625"/>
    <col min="3107" max="3107" customWidth="1" width="9.140625"/>
    <col min="3108" max="3108" customWidth="1" width="9.140625"/>
    <col min="3109" max="3109" customWidth="1" width="9.140625"/>
    <col min="3110" max="3110" customWidth="1" width="9.140625"/>
    <col min="3111" max="3111" customWidth="1" width="9.140625"/>
    <col min="3112" max="3112" customWidth="1" width="9.140625"/>
    <col min="3113" max="3113" customWidth="1" width="9.140625"/>
    <col min="3114" max="3114" customWidth="1" width="9.140625"/>
    <col min="3115" max="3115" customWidth="1" width="9.140625"/>
    <col min="3116" max="3116" customWidth="1" width="9.140625"/>
    <col min="3117" max="3117" customWidth="1" width="9.140625"/>
    <col min="3118" max="3118" customWidth="1" width="9.140625"/>
    <col min="3119" max="3119" customWidth="1" width="9.140625"/>
    <col min="3120" max="3120" customWidth="1" width="9.140625"/>
    <col min="3121" max="3121" customWidth="1" width="9.140625"/>
    <col min="3122" max="3122" customWidth="1" width="9.140625"/>
    <col min="3123" max="3123" customWidth="1" width="9.140625"/>
    <col min="3124" max="3124" customWidth="1" width="9.140625"/>
    <col min="3125" max="3125" customWidth="1" width="9.140625"/>
    <col min="3126" max="3126" customWidth="1" width="9.140625"/>
    <col min="3127" max="3127" customWidth="1" width="9.140625"/>
    <col min="3128" max="3128" customWidth="1" width="9.140625"/>
    <col min="3129" max="3129" customWidth="1" width="9.140625"/>
    <col min="3130" max="3130" customWidth="1" width="9.140625"/>
    <col min="3131" max="3131" customWidth="1" width="9.140625"/>
    <col min="3132" max="3132" customWidth="1" width="9.140625"/>
    <col min="3133" max="3133" customWidth="1" width="9.140625"/>
    <col min="3134" max="3134" customWidth="1" width="9.140625"/>
    <col min="3135" max="3135" customWidth="1" width="9.140625"/>
    <col min="3136" max="3136" customWidth="1" width="9.140625"/>
    <col min="3137" max="3137" customWidth="1" width="9.140625"/>
    <col min="3138" max="3138" customWidth="1" width="9.140625"/>
    <col min="3139" max="3139" customWidth="1" width="9.140625"/>
    <col min="3140" max="3140" customWidth="1" width="9.140625"/>
    <col min="3141" max="3141" customWidth="1" width="9.140625"/>
    <col min="3142" max="3142" customWidth="1" width="9.140625"/>
    <col min="3143" max="3143" customWidth="1" width="9.140625"/>
    <col min="3144" max="3144" customWidth="1" width="9.140625"/>
    <col min="3145" max="3145" customWidth="1" width="9.140625"/>
    <col min="3146" max="3146" customWidth="1" width="9.140625"/>
    <col min="3147" max="3147" customWidth="1" width="9.140625"/>
    <col min="3148" max="3148" customWidth="1" width="9.140625"/>
    <col min="3149" max="3149" customWidth="1" width="9.140625"/>
    <col min="3150" max="3150" customWidth="1" width="9.140625"/>
    <col min="3151" max="3151" customWidth="1" width="9.140625"/>
    <col min="3152" max="3152" customWidth="1" width="9.140625"/>
    <col min="3153" max="3153" customWidth="1" width="9.140625"/>
    <col min="3154" max="3154" customWidth="1" width="9.140625"/>
    <col min="3155" max="3155" customWidth="1" width="9.140625"/>
    <col min="3156" max="3156" customWidth="1" width="9.140625"/>
    <col min="3157" max="3157" customWidth="1" width="9.140625"/>
    <col min="3158" max="3158" customWidth="1" width="9.140625"/>
    <col min="3159" max="3159" customWidth="1" width="9.140625"/>
    <col min="3160" max="3160" customWidth="1" width="9.140625"/>
    <col min="3161" max="3161" customWidth="1" width="9.140625"/>
    <col min="3162" max="3162" customWidth="1" width="9.140625"/>
    <col min="3163" max="3163" customWidth="1" width="9.140625"/>
    <col min="3164" max="3164" customWidth="1" width="9.140625"/>
    <col min="3165" max="3165" customWidth="1" width="9.140625"/>
    <col min="3166" max="3166" customWidth="1" width="9.140625"/>
    <col min="3167" max="3167" customWidth="1" width="9.140625"/>
    <col min="3168" max="3168" customWidth="1" width="9.140625"/>
    <col min="3169" max="3169" customWidth="1" width="9.140625"/>
    <col min="3170" max="3170" customWidth="1" width="9.140625"/>
    <col min="3171" max="3171" customWidth="1" width="9.140625"/>
    <col min="3172" max="3172" customWidth="1" width="9.140625"/>
    <col min="3173" max="3173" customWidth="1" width="9.140625"/>
    <col min="3174" max="3174" customWidth="1" width="9.140625"/>
    <col min="3175" max="3175" customWidth="1" width="9.140625"/>
    <col min="3176" max="3176" customWidth="1" width="9.140625"/>
    <col min="3177" max="3177" customWidth="1" width="9.140625"/>
    <col min="3178" max="3178" customWidth="1" width="9.140625"/>
    <col min="3179" max="3179" customWidth="1" width="9.140625"/>
    <col min="3180" max="3180" customWidth="1" width="9.140625"/>
    <col min="3181" max="3181" customWidth="1" width="9.140625"/>
    <col min="3182" max="3182" customWidth="1" width="9.140625"/>
    <col min="3183" max="3183" customWidth="1" width="9.140625"/>
    <col min="3184" max="3184" customWidth="1" width="9.140625"/>
    <col min="3185" max="3185" customWidth="1" width="9.140625"/>
    <col min="3186" max="3186" customWidth="1" width="9.140625"/>
    <col min="3187" max="3187" customWidth="1" width="9.140625"/>
    <col min="3188" max="3188" customWidth="1" width="9.140625"/>
    <col min="3189" max="3189" customWidth="1" width="9.140625"/>
    <col min="3190" max="3190" customWidth="1" width="9.140625"/>
    <col min="3191" max="3191" customWidth="1" width="9.140625"/>
    <col min="3192" max="3192" customWidth="1" width="9.140625"/>
    <col min="3193" max="3193" customWidth="1" width="9.140625"/>
    <col min="3194" max="3194" customWidth="1" width="9.140625"/>
    <col min="3195" max="3195" customWidth="1" width="9.140625"/>
    <col min="3196" max="3196" customWidth="1" width="9.140625"/>
    <col min="3197" max="3197" customWidth="1" width="9.140625"/>
    <col min="3198" max="3198" customWidth="1" width="9.140625"/>
    <col min="3199" max="3199" customWidth="1" width="9.140625"/>
    <col min="3200" max="3200" customWidth="1" width="9.140625"/>
    <col min="3201" max="3201" customWidth="1" width="9.140625"/>
    <col min="3202" max="3202" customWidth="1" width="9.140625"/>
    <col min="3203" max="3203" customWidth="1" width="9.140625"/>
    <col min="3204" max="3204" customWidth="1" width="9.140625"/>
    <col min="3205" max="3205" customWidth="1" width="9.140625"/>
    <col min="3206" max="3206" customWidth="1" width="9.140625"/>
    <col min="3207" max="3207" customWidth="1" width="9.140625"/>
    <col min="3208" max="3208" customWidth="1" width="9.140625"/>
    <col min="3209" max="3209" customWidth="1" width="9.140625"/>
    <col min="3210" max="3210" customWidth="1" width="9.140625"/>
    <col min="3211" max="3211" customWidth="1" width="9.140625"/>
    <col min="3212" max="3212" customWidth="1" width="9.140625"/>
    <col min="3213" max="3213" customWidth="1" width="9.140625"/>
    <col min="3214" max="3214" customWidth="1" width="9.140625"/>
    <col min="3215" max="3215" customWidth="1" width="9.140625"/>
    <col min="3216" max="3216" customWidth="1" width="9.140625"/>
    <col min="3217" max="3217" customWidth="1" width="9.140625"/>
    <col min="3218" max="3218" customWidth="1" width="9.140625"/>
    <col min="3219" max="3219" customWidth="1" width="9.140625"/>
    <col min="3220" max="3220" customWidth="1" width="9.140625"/>
    <col min="3221" max="3221" customWidth="1" width="9.140625"/>
    <col min="3222" max="3222" customWidth="1" width="9.140625"/>
    <col min="3223" max="3223" customWidth="1" width="9.140625"/>
    <col min="3224" max="3224" customWidth="1" width="9.140625"/>
    <col min="3225" max="3225" customWidth="1" width="9.140625"/>
    <col min="3226" max="3226" customWidth="1" width="9.140625"/>
    <col min="3227" max="3227" customWidth="1" width="9.140625"/>
    <col min="3228" max="3228" customWidth="1" width="9.140625"/>
    <col min="3229" max="3229" customWidth="1" width="9.140625"/>
    <col min="3230" max="3230" customWidth="1" width="9.140625"/>
    <col min="3231" max="3231" customWidth="1" width="9.140625"/>
    <col min="3232" max="3232" customWidth="1" width="9.140625"/>
    <col min="3233" max="3233" customWidth="1" width="9.140625"/>
    <col min="3234" max="3234" customWidth="1" width="9.140625"/>
    <col min="3235" max="3235" customWidth="1" width="9.140625"/>
    <col min="3236" max="3236" customWidth="1" width="9.140625"/>
    <col min="3237" max="3237" customWidth="1" width="9.140625"/>
    <col min="3238" max="3238" customWidth="1" width="9.140625"/>
    <col min="3239" max="3239" customWidth="1" width="9.140625"/>
    <col min="3240" max="3240" customWidth="1" width="9.140625"/>
    <col min="3241" max="3241" customWidth="1" width="9.140625"/>
    <col min="3242" max="3242" customWidth="1" width="9.140625"/>
    <col min="3243" max="3243" customWidth="1" width="9.140625"/>
    <col min="3244" max="3244" customWidth="1" width="9.140625"/>
    <col min="3245" max="3245" customWidth="1" width="9.140625"/>
    <col min="3246" max="3246" customWidth="1" width="9.140625"/>
    <col min="3247" max="3247" customWidth="1" width="9.140625"/>
    <col min="3248" max="3248" customWidth="1" width="9.140625"/>
    <col min="3249" max="3249" customWidth="1" width="9.140625"/>
    <col min="3250" max="3250" customWidth="1" width="9.140625"/>
    <col min="3251" max="3251" customWidth="1" width="9.140625"/>
    <col min="3252" max="3252" customWidth="1" width="9.140625"/>
    <col min="3253" max="3253" customWidth="1" width="9.140625"/>
    <col min="3254" max="3254" customWidth="1" width="9.140625"/>
    <col min="3255" max="3255" customWidth="1" width="9.140625"/>
    <col min="3256" max="3256" customWidth="1" width="9.140625"/>
    <col min="3257" max="3257" customWidth="1" width="9.140625"/>
    <col min="3258" max="3258" customWidth="1" width="9.140625"/>
    <col min="3259" max="3259" customWidth="1" width="9.140625"/>
    <col min="3260" max="3260" customWidth="1" width="9.140625"/>
    <col min="3261" max="3261" customWidth="1" width="9.140625"/>
    <col min="3262" max="3262" customWidth="1" width="9.140625"/>
    <col min="3263" max="3263" customWidth="1" width="9.140625"/>
    <col min="3264" max="3264" customWidth="1" width="9.140625"/>
    <col min="3265" max="3265" customWidth="1" width="9.140625"/>
    <col min="3266" max="3266" customWidth="1" width="9.140625"/>
    <col min="3267" max="3267" customWidth="1" width="9.140625"/>
    <col min="3268" max="3268" customWidth="1" width="9.140625"/>
    <col min="3269" max="3269" customWidth="1" width="9.140625"/>
    <col min="3270" max="3270" customWidth="1" width="9.140625"/>
    <col min="3271" max="3271" customWidth="1" width="9.140625"/>
    <col min="3272" max="3272" customWidth="1" width="9.140625"/>
    <col min="3273" max="3273" customWidth="1" width="9.140625"/>
    <col min="3274" max="3274" customWidth="1" width="9.140625"/>
    <col min="3275" max="3275" customWidth="1" width="9.140625"/>
    <col min="3276" max="3276" customWidth="1" width="9.140625"/>
    <col min="3277" max="3277" customWidth="1" width="9.140625"/>
    <col min="3278" max="3278" customWidth="1" width="9.140625"/>
    <col min="3279" max="3279" customWidth="1" width="9.140625"/>
    <col min="3280" max="3280" customWidth="1" width="9.140625"/>
    <col min="3281" max="3281" customWidth="1" width="9.140625"/>
    <col min="3282" max="3282" customWidth="1" width="9.140625"/>
    <col min="3283" max="3283" customWidth="1" width="9.140625"/>
    <col min="3284" max="3284" customWidth="1" width="9.140625"/>
    <col min="3285" max="3285" customWidth="1" width="9.140625"/>
    <col min="3286" max="3286" customWidth="1" width="9.140625"/>
    <col min="3287" max="3287" customWidth="1" width="9.140625"/>
    <col min="3288" max="3288" customWidth="1" width="9.140625"/>
    <col min="3289" max="3289" customWidth="1" width="9.140625"/>
    <col min="3290" max="3290" customWidth="1" width="9.140625"/>
    <col min="3291" max="3291" customWidth="1" width="9.140625"/>
    <col min="3292" max="3292" customWidth="1" width="9.140625"/>
    <col min="3293" max="3293" customWidth="1" width="9.140625"/>
    <col min="3294" max="3294" customWidth="1" width="9.140625"/>
    <col min="3295" max="3295" customWidth="1" width="9.140625"/>
    <col min="3296" max="3296" customWidth="1" width="9.140625"/>
    <col min="3297" max="3297" customWidth="1" width="9.140625"/>
    <col min="3298" max="3298" customWidth="1" width="9.140625"/>
    <col min="3299" max="3299" customWidth="1" width="9.140625"/>
    <col min="3300" max="3300" customWidth="1" width="9.140625"/>
    <col min="3301" max="3301" customWidth="1" width="9.140625"/>
    <col min="3302" max="3302" customWidth="1" width="9.140625"/>
    <col min="3303" max="3303" customWidth="1" width="9.140625"/>
    <col min="3304" max="3304" customWidth="1" width="9.140625"/>
    <col min="3305" max="3305" customWidth="1" width="9.140625"/>
    <col min="3306" max="3306" customWidth="1" width="9.140625"/>
    <col min="3307" max="3307" customWidth="1" width="9.140625"/>
    <col min="3308" max="3308" customWidth="1" width="9.140625"/>
    <col min="3309" max="3309" customWidth="1" width="9.140625"/>
    <col min="3310" max="3310" customWidth="1" width="9.140625"/>
    <col min="3311" max="3311" customWidth="1" width="9.140625"/>
    <col min="3312" max="3312" customWidth="1" width="9.140625"/>
    <col min="3313" max="3313" customWidth="1" width="9.140625"/>
    <col min="3314" max="3314" customWidth="1" width="9.140625"/>
    <col min="3315" max="3315" customWidth="1" width="9.140625"/>
    <col min="3316" max="3316" customWidth="1" width="9.140625"/>
    <col min="3317" max="3317" customWidth="1" width="9.140625"/>
    <col min="3318" max="3318" customWidth="1" width="9.140625"/>
    <col min="3319" max="3319" customWidth="1" width="9.140625"/>
    <col min="3320" max="3320" customWidth="1" width="9.140625"/>
    <col min="3321" max="3321" customWidth="1" width="9.140625"/>
    <col min="3322" max="3322" customWidth="1" width="9.140625"/>
    <col min="3323" max="3323" customWidth="1" width="9.140625"/>
    <col min="3324" max="3324" customWidth="1" width="9.140625"/>
    <col min="3325" max="3325" customWidth="1" width="9.140625"/>
    <col min="3326" max="3326" customWidth="1" width="9.140625"/>
    <col min="3327" max="3327" customWidth="1" width="9.140625"/>
    <col min="3328" max="3328" customWidth="1" width="9.140625"/>
    <col min="3329" max="3329" customWidth="1" width="9.140625"/>
    <col min="3330" max="3330" customWidth="1" width="9.140625"/>
    <col min="3331" max="3331" customWidth="1" width="9.140625"/>
    <col min="3332" max="3332" customWidth="1" width="9.140625"/>
    <col min="3333" max="3333" customWidth="1" width="9.140625"/>
    <col min="3334" max="3334" customWidth="1" width="9.140625"/>
    <col min="3335" max="3335" customWidth="1" width="9.140625"/>
    <col min="3336" max="3336" customWidth="1" width="9.140625"/>
    <col min="3337" max="3337" customWidth="1" width="9.140625"/>
    <col min="3338" max="3338" customWidth="1" width="9.140625"/>
    <col min="3339" max="3339" customWidth="1" width="9.140625"/>
    <col min="3340" max="3340" customWidth="1" width="9.140625"/>
    <col min="3341" max="3341" customWidth="1" width="9.140625"/>
    <col min="3342" max="3342" customWidth="1" width="9.140625"/>
    <col min="3343" max="3343" customWidth="1" width="9.140625"/>
    <col min="3344" max="3344" customWidth="1" width="9.140625"/>
    <col min="3345" max="3345" customWidth="1" width="9.140625"/>
    <col min="3346" max="3346" customWidth="1" width="9.140625"/>
    <col min="3347" max="3347" customWidth="1" width="9.140625"/>
    <col min="3348" max="3348" customWidth="1" width="9.140625"/>
    <col min="3349" max="3349" customWidth="1" width="9.140625"/>
    <col min="3350" max="3350" customWidth="1" width="9.140625"/>
    <col min="3351" max="3351" customWidth="1" width="9.140625"/>
    <col min="3352" max="3352" customWidth="1" width="9.140625"/>
    <col min="3353" max="3353" customWidth="1" width="9.140625"/>
    <col min="3354" max="3354" customWidth="1" width="9.140625"/>
    <col min="3355" max="3355" customWidth="1" width="9.140625"/>
    <col min="3356" max="3356" customWidth="1" width="9.140625"/>
    <col min="3357" max="3357" customWidth="1" width="9.140625"/>
    <col min="3358" max="3358" customWidth="1" width="9.140625"/>
    <col min="3359" max="3359" customWidth="1" width="9.140625"/>
    <col min="3360" max="3360" customWidth="1" width="9.140625"/>
    <col min="3361" max="3361" customWidth="1" width="9.140625"/>
    <col min="3362" max="3362" customWidth="1" width="9.140625"/>
    <col min="3363" max="3363" customWidth="1" width="9.140625"/>
    <col min="3364" max="3364" customWidth="1" width="9.140625"/>
    <col min="3365" max="3365" customWidth="1" width="9.140625"/>
    <col min="3366" max="3366" customWidth="1" width="9.140625"/>
    <col min="3367" max="3367" customWidth="1" width="9.140625"/>
    <col min="3368" max="3368" customWidth="1" width="9.140625"/>
    <col min="3369" max="3369" customWidth="1" width="9.140625"/>
    <col min="3370" max="3370" customWidth="1" width="9.140625"/>
    <col min="3371" max="3371" customWidth="1" width="9.140625"/>
    <col min="3372" max="3372" customWidth="1" width="9.140625"/>
    <col min="3373" max="3373" customWidth="1" width="9.140625"/>
    <col min="3374" max="3374" customWidth="1" width="9.140625"/>
    <col min="3375" max="3375" customWidth="1" width="9.140625"/>
    <col min="3376" max="3376" customWidth="1" width="9.140625"/>
    <col min="3377" max="3377" customWidth="1" width="9.140625"/>
    <col min="3378" max="3378" customWidth="1" width="9.140625"/>
    <col min="3379" max="3379" customWidth="1" width="9.140625"/>
    <col min="3380" max="3380" customWidth="1" width="9.140625"/>
    <col min="3381" max="3381" customWidth="1" width="9.140625"/>
    <col min="3382" max="3382" customWidth="1" width="9.140625"/>
    <col min="3383" max="3383" customWidth="1" width="9.140625"/>
    <col min="3384" max="3384" customWidth="1" width="9.140625"/>
    <col min="3385" max="3385" customWidth="1" width="9.140625"/>
    <col min="3386" max="3386" customWidth="1" width="9.140625"/>
    <col min="3387" max="3387" customWidth="1" width="9.140625"/>
    <col min="3388" max="3388" customWidth="1" width="9.140625"/>
    <col min="3389" max="3389" customWidth="1" width="9.140625"/>
    <col min="3390" max="3390" customWidth="1" width="9.140625"/>
    <col min="3391" max="3391" customWidth="1" width="9.140625"/>
    <col min="3392" max="3392" customWidth="1" width="9.140625"/>
    <col min="3393" max="3393" customWidth="1" width="9.140625"/>
    <col min="3394" max="3394" customWidth="1" width="9.140625"/>
    <col min="3395" max="3395" customWidth="1" width="9.140625"/>
    <col min="3396" max="3396" customWidth="1" width="9.140625"/>
    <col min="3397" max="3397" customWidth="1" width="9.140625"/>
    <col min="3398" max="3398" customWidth="1" width="9.140625"/>
    <col min="3399" max="3399" customWidth="1" width="9.140625"/>
    <col min="3400" max="3400" customWidth="1" width="9.140625"/>
    <col min="3401" max="3401" customWidth="1" width="9.140625"/>
    <col min="3402" max="3402" customWidth="1" width="9.140625"/>
    <col min="3403" max="3403" customWidth="1" width="9.140625"/>
    <col min="3404" max="3404" customWidth="1" width="9.140625"/>
    <col min="3405" max="3405" customWidth="1" width="9.140625"/>
    <col min="3406" max="3406" customWidth="1" width="9.140625"/>
    <col min="3407" max="3407" customWidth="1" width="9.140625"/>
    <col min="3408" max="3408" customWidth="1" width="9.140625"/>
    <col min="3409" max="3409" customWidth="1" width="9.140625"/>
    <col min="3410" max="3410" customWidth="1" width="9.140625"/>
    <col min="3411" max="3411" customWidth="1" width="9.140625"/>
    <col min="3412" max="3412" customWidth="1" width="9.140625"/>
    <col min="3413" max="3413" customWidth="1" width="9.140625"/>
    <col min="3414" max="3414" customWidth="1" width="9.140625"/>
    <col min="3415" max="3415" customWidth="1" width="9.140625"/>
    <col min="3416" max="3416" customWidth="1" width="9.140625"/>
    <col min="3417" max="3417" customWidth="1" width="9.140625"/>
    <col min="3418" max="3418" customWidth="1" width="9.140625"/>
    <col min="3419" max="3419" customWidth="1" width="9.140625"/>
    <col min="3420" max="3420" customWidth="1" width="9.140625"/>
    <col min="3421" max="3421" customWidth="1" width="9.140625"/>
    <col min="3422" max="3422" customWidth="1" width="9.140625"/>
    <col min="3423" max="3423" customWidth="1" width="9.140625"/>
    <col min="3424" max="3424" customWidth="1" width="9.140625"/>
    <col min="3425" max="3425" customWidth="1" width="9.140625"/>
    <col min="3426" max="3426" customWidth="1" width="9.140625"/>
    <col min="3427" max="3427" customWidth="1" width="9.140625"/>
    <col min="3428" max="3428" customWidth="1" width="9.140625"/>
    <col min="3429" max="3429" customWidth="1" width="9.140625"/>
    <col min="3430" max="3430" customWidth="1" width="9.140625"/>
    <col min="3431" max="3431" customWidth="1" width="9.140625"/>
    <col min="3432" max="3432" customWidth="1" width="9.140625"/>
    <col min="3433" max="3433" customWidth="1" width="9.140625"/>
    <col min="3434" max="3434" customWidth="1" width="9.140625"/>
    <col min="3435" max="3435" customWidth="1" width="9.140625"/>
    <col min="3436" max="3436" customWidth="1" width="9.140625"/>
    <col min="3437" max="3437" customWidth="1" width="9.140625"/>
    <col min="3438" max="3438" customWidth="1" width="9.140625"/>
    <col min="3439" max="3439" customWidth="1" width="9.140625"/>
    <col min="3440" max="3440" customWidth="1" width="9.140625"/>
    <col min="3441" max="3441" customWidth="1" width="9.140625"/>
    <col min="3442" max="3442" customWidth="1" width="9.140625"/>
    <col min="3443" max="3443" customWidth="1" width="9.140625"/>
    <col min="3444" max="3444" customWidth="1" width="9.140625"/>
    <col min="3445" max="3445" customWidth="1" width="9.140625"/>
    <col min="3446" max="3446" customWidth="1" width="9.140625"/>
    <col min="3447" max="3447" customWidth="1" width="9.140625"/>
    <col min="3448" max="3448" customWidth="1" width="9.140625"/>
    <col min="3449" max="3449" customWidth="1" width="9.140625"/>
    <col min="3450" max="3450" customWidth="1" width="9.140625"/>
    <col min="3451" max="3451" customWidth="1" width="9.140625"/>
    <col min="3452" max="3452" customWidth="1" width="9.140625"/>
    <col min="3453" max="3453" customWidth="1" width="9.140625"/>
    <col min="3454" max="3454" customWidth="1" width="9.140625"/>
    <col min="3455" max="3455" customWidth="1" width="9.140625"/>
    <col min="3456" max="3456" customWidth="1" width="9.140625"/>
    <col min="3457" max="3457" customWidth="1" width="9.140625"/>
    <col min="3458" max="3458" customWidth="1" width="9.140625"/>
    <col min="3459" max="3459" customWidth="1" width="9.140625"/>
    <col min="3460" max="3460" customWidth="1" width="9.140625"/>
    <col min="3461" max="3461" customWidth="1" width="9.140625"/>
    <col min="3462" max="3462" customWidth="1" width="9.140625"/>
    <col min="3463" max="3463" customWidth="1" width="9.140625"/>
    <col min="3464" max="3464" customWidth="1" width="9.140625"/>
    <col min="3465" max="3465" customWidth="1" width="9.140625"/>
    <col min="3466" max="3466" customWidth="1" width="9.140625"/>
    <col min="3467" max="3467" customWidth="1" width="9.140625"/>
    <col min="3468" max="3468" customWidth="1" width="9.140625"/>
    <col min="3469" max="3469" customWidth="1" width="9.140625"/>
    <col min="3470" max="3470" customWidth="1" width="9.140625"/>
    <col min="3471" max="3471" customWidth="1" width="9.140625"/>
    <col min="3472" max="3472" customWidth="1" width="9.140625"/>
    <col min="3473" max="3473" customWidth="1" width="9.140625"/>
    <col min="3474" max="3474" customWidth="1" width="9.140625"/>
    <col min="3475" max="3475" customWidth="1" width="9.140625"/>
    <col min="3476" max="3476" customWidth="1" width="9.140625"/>
    <col min="3477" max="3477" customWidth="1" width="9.140625"/>
    <col min="3478" max="3478" customWidth="1" width="9.140625"/>
    <col min="3479" max="3479" customWidth="1" width="9.140625"/>
    <col min="3480" max="3480" customWidth="1" width="9.140625"/>
    <col min="3481" max="3481" customWidth="1" width="9.140625"/>
    <col min="3482" max="3482" customWidth="1" width="9.140625"/>
    <col min="3483" max="3483" customWidth="1" width="9.140625"/>
    <col min="3484" max="3484" customWidth="1" width="9.140625"/>
    <col min="3485" max="3485" customWidth="1" width="9.140625"/>
    <col min="3486" max="3486" customWidth="1" width="9.140625"/>
    <col min="3487" max="3487" customWidth="1" width="9.140625"/>
    <col min="3488" max="3488" customWidth="1" width="9.140625"/>
    <col min="3489" max="3489" customWidth="1" width="9.140625"/>
    <col min="3490" max="3490" customWidth="1" width="9.140625"/>
    <col min="3491" max="3491" customWidth="1" width="9.140625"/>
    <col min="3492" max="3492" customWidth="1" width="9.140625"/>
    <col min="3493" max="3493" customWidth="1" width="9.140625"/>
    <col min="3494" max="3494" customWidth="1" width="9.140625"/>
    <col min="3495" max="3495" customWidth="1" width="9.140625"/>
    <col min="3496" max="3496" customWidth="1" width="9.140625"/>
    <col min="3497" max="3497" customWidth="1" width="9.140625"/>
    <col min="3498" max="3498" customWidth="1" width="9.140625"/>
    <col min="3499" max="3499" customWidth="1" width="9.140625"/>
    <col min="3500" max="3500" customWidth="1" width="9.140625"/>
    <col min="3501" max="3501" customWidth="1" width="9.140625"/>
    <col min="3502" max="3502" customWidth="1" width="9.140625"/>
    <col min="3503" max="3503" customWidth="1" width="9.140625"/>
    <col min="3504" max="3504" customWidth="1" width="9.140625"/>
    <col min="3505" max="3505" customWidth="1" width="9.140625"/>
    <col min="3506" max="3506" customWidth="1" width="9.140625"/>
    <col min="3507" max="3507" customWidth="1" width="9.140625"/>
    <col min="3508" max="3508" customWidth="1" width="9.140625"/>
    <col min="3509" max="3509" customWidth="1" width="9.140625"/>
    <col min="3510" max="3510" customWidth="1" width="9.140625"/>
    <col min="3511" max="3511" customWidth="1" width="9.140625"/>
    <col min="3512" max="3512" customWidth="1" width="9.140625"/>
    <col min="3513" max="3513" customWidth="1" width="9.140625"/>
    <col min="3514" max="3514" customWidth="1" width="9.140625"/>
    <col min="3515" max="3515" customWidth="1" width="9.140625"/>
    <col min="3516" max="3516" customWidth="1" width="9.140625"/>
    <col min="3517" max="3517" customWidth="1" width="9.140625"/>
    <col min="3518" max="3518" customWidth="1" width="9.140625"/>
    <col min="3519" max="3519" customWidth="1" width="9.140625"/>
    <col min="3520" max="3520" customWidth="1" width="9.140625"/>
    <col min="3521" max="3521" customWidth="1" width="9.140625"/>
    <col min="3522" max="3522" customWidth="1" width="9.140625"/>
    <col min="3523" max="3523" customWidth="1" width="9.140625"/>
    <col min="3524" max="3524" customWidth="1" width="9.140625"/>
    <col min="3525" max="3525" customWidth="1" width="9.140625"/>
    <col min="3526" max="3526" customWidth="1" width="9.140625"/>
    <col min="3527" max="3527" customWidth="1" width="9.140625"/>
    <col min="3528" max="3528" customWidth="1" width="9.140625"/>
    <col min="3529" max="3529" customWidth="1" width="9.140625"/>
    <col min="3530" max="3530" customWidth="1" width="9.140625"/>
    <col min="3531" max="3531" customWidth="1" width="9.140625"/>
    <col min="3532" max="3532" customWidth="1" width="9.140625"/>
    <col min="3533" max="3533" customWidth="1" width="9.140625"/>
    <col min="3534" max="3534" customWidth="1" width="9.140625"/>
    <col min="3535" max="3535" customWidth="1" width="9.140625"/>
    <col min="3536" max="3536" customWidth="1" width="9.140625"/>
    <col min="3537" max="3537" customWidth="1" width="9.140625"/>
    <col min="3538" max="3538" customWidth="1" width="9.140625"/>
    <col min="3539" max="3539" customWidth="1" width="9.140625"/>
    <col min="3540" max="3540" customWidth="1" width="9.140625"/>
    <col min="3541" max="3541" customWidth="1" width="9.140625"/>
    <col min="3542" max="3542" customWidth="1" width="9.140625"/>
    <col min="3543" max="3543" customWidth="1" width="9.140625"/>
    <col min="3544" max="3544" customWidth="1" width="9.140625"/>
    <col min="3545" max="3545" customWidth="1" width="9.140625"/>
    <col min="3546" max="3546" customWidth="1" width="9.140625"/>
    <col min="3547" max="3547" customWidth="1" width="9.140625"/>
    <col min="3548" max="3548" customWidth="1" width="9.140625"/>
    <col min="3549" max="3549" customWidth="1" width="9.140625"/>
    <col min="3550" max="3550" customWidth="1" width="9.140625"/>
    <col min="3551" max="3551" customWidth="1" width="9.140625"/>
    <col min="3552" max="3552" customWidth="1" width="9.140625"/>
    <col min="3553" max="3553" customWidth="1" width="9.140625"/>
    <col min="3554" max="3554" customWidth="1" width="9.140625"/>
    <col min="3555" max="3555" customWidth="1" width="9.140625"/>
    <col min="3556" max="3556" customWidth="1" width="9.140625"/>
    <col min="3557" max="3557" customWidth="1" width="9.140625"/>
    <col min="3558" max="3558" customWidth="1" width="9.140625"/>
    <col min="3559" max="3559" customWidth="1" width="9.140625"/>
    <col min="3560" max="3560" customWidth="1" width="9.140625"/>
    <col min="3561" max="3561" customWidth="1" width="9.140625"/>
    <col min="3562" max="3562" customWidth="1" width="9.140625"/>
    <col min="3563" max="3563" customWidth="1" width="9.140625"/>
    <col min="3564" max="3564" customWidth="1" width="9.140625"/>
    <col min="3565" max="3565" customWidth="1" width="9.140625"/>
    <col min="3566" max="3566" customWidth="1" width="9.140625"/>
    <col min="3567" max="3567" customWidth="1" width="9.140625"/>
    <col min="3568" max="3568" customWidth="1" width="9.140625"/>
    <col min="3569" max="3569" customWidth="1" width="9.140625"/>
    <col min="3570" max="3570" customWidth="1" width="9.140625"/>
    <col min="3571" max="3571" customWidth="1" width="9.140625"/>
    <col min="3572" max="3572" customWidth="1" width="9.140625"/>
    <col min="3573" max="3573" customWidth="1" width="9.140625"/>
    <col min="3574" max="3574" customWidth="1" width="9.140625"/>
    <col min="3575" max="3575" customWidth="1" width="9.140625"/>
    <col min="3576" max="3576" customWidth="1" width="9.140625"/>
    <col min="3577" max="3577" customWidth="1" width="9.140625"/>
    <col min="3578" max="3578" customWidth="1" width="9.140625"/>
    <col min="3579" max="3579" customWidth="1" width="9.140625"/>
    <col min="3580" max="3580" customWidth="1" width="9.140625"/>
    <col min="3581" max="3581" customWidth="1" width="9.140625"/>
    <col min="3582" max="3582" customWidth="1" width="9.140625"/>
    <col min="3583" max="3583" customWidth="1" width="9.140625"/>
    <col min="3584" max="3584" customWidth="1" width="9.140625"/>
    <col min="3585" max="3585" customWidth="1" width="9.140625"/>
    <col min="3586" max="3586" customWidth="1" width="9.140625"/>
    <col min="3587" max="3587" customWidth="1" width="9.140625"/>
    <col min="3588" max="3588" customWidth="1" width="9.140625"/>
    <col min="3589" max="3589" customWidth="1" width="9.140625"/>
    <col min="3590" max="3590" customWidth="1" width="9.140625"/>
    <col min="3591" max="3591" customWidth="1" width="9.140625"/>
    <col min="3592" max="3592" customWidth="1" width="9.140625"/>
    <col min="3593" max="3593" customWidth="1" width="9.140625"/>
    <col min="3594" max="3594" customWidth="1" width="9.140625"/>
    <col min="3595" max="3595" customWidth="1" width="9.140625"/>
    <col min="3596" max="3596" customWidth="1" width="9.140625"/>
    <col min="3597" max="3597" customWidth="1" width="9.140625"/>
    <col min="3598" max="3598" customWidth="1" width="9.140625"/>
    <col min="3599" max="3599" customWidth="1" width="9.140625"/>
    <col min="3600" max="3600" customWidth="1" width="9.140625"/>
    <col min="3601" max="3601" customWidth="1" width="9.140625"/>
    <col min="3602" max="3602" customWidth="1" width="9.140625"/>
    <col min="3603" max="3603" customWidth="1" width="9.140625"/>
    <col min="3604" max="3604" customWidth="1" width="9.140625"/>
    <col min="3605" max="3605" customWidth="1" width="9.140625"/>
    <col min="3606" max="3606" customWidth="1" width="9.140625"/>
    <col min="3607" max="3607" customWidth="1" width="9.140625"/>
    <col min="3608" max="3608" customWidth="1" width="9.140625"/>
    <col min="3609" max="3609" customWidth="1" width="9.140625"/>
    <col min="3610" max="3610" customWidth="1" width="9.140625"/>
    <col min="3611" max="3611" customWidth="1" width="9.140625"/>
    <col min="3612" max="3612" customWidth="1" width="9.140625"/>
    <col min="3613" max="3613" customWidth="1" width="9.140625"/>
    <col min="3614" max="3614" customWidth="1" width="9.140625"/>
    <col min="3615" max="3615" customWidth="1" width="9.140625"/>
    <col min="3616" max="3616" customWidth="1" width="9.140625"/>
    <col min="3617" max="3617" customWidth="1" width="9.140625"/>
    <col min="3618" max="3618" customWidth="1" width="9.140625"/>
    <col min="3619" max="3619" customWidth="1" width="9.140625"/>
    <col min="3620" max="3620" customWidth="1" width="9.140625"/>
    <col min="3621" max="3621" customWidth="1" width="9.140625"/>
    <col min="3622" max="3622" customWidth="1" width="9.140625"/>
    <col min="3623" max="3623" customWidth="1" width="9.140625"/>
    <col min="3624" max="3624" customWidth="1" width="9.140625"/>
    <col min="3625" max="3625" customWidth="1" width="9.140625"/>
    <col min="3626" max="3626" customWidth="1" width="9.140625"/>
    <col min="3627" max="3627" customWidth="1" width="9.140625"/>
    <col min="3628" max="3628" customWidth="1" width="9.140625"/>
    <col min="3629" max="3629" customWidth="1" width="9.140625"/>
    <col min="3630" max="3630" customWidth="1" width="9.140625"/>
    <col min="3631" max="3631" customWidth="1" width="9.140625"/>
    <col min="3632" max="3632" customWidth="1" width="9.140625"/>
    <col min="3633" max="3633" customWidth="1" width="9.140625"/>
    <col min="3634" max="3634" customWidth="1" width="9.140625"/>
    <col min="3635" max="3635" customWidth="1" width="9.140625"/>
    <col min="3636" max="3636" customWidth="1" width="9.140625"/>
    <col min="3637" max="3637" customWidth="1" width="9.140625"/>
    <col min="3638" max="3638" customWidth="1" width="9.140625"/>
    <col min="3639" max="3639" customWidth="1" width="9.140625"/>
    <col min="3640" max="3640" customWidth="1" width="9.140625"/>
    <col min="3641" max="3641" customWidth="1" width="9.140625"/>
    <col min="3642" max="3642" customWidth="1" width="9.140625"/>
    <col min="3643" max="3643" customWidth="1" width="9.140625"/>
    <col min="3644" max="3644" customWidth="1" width="9.140625"/>
    <col min="3645" max="3645" customWidth="1" width="9.140625"/>
    <col min="3646" max="3646" customWidth="1" width="9.140625"/>
    <col min="3647" max="3647" customWidth="1" width="9.140625"/>
    <col min="3648" max="3648" customWidth="1" width="9.140625"/>
    <col min="3649" max="3649" customWidth="1" width="9.140625"/>
    <col min="3650" max="3650" customWidth="1" width="9.140625"/>
    <col min="3651" max="3651" customWidth="1" width="9.140625"/>
    <col min="3652" max="3652" customWidth="1" width="9.140625"/>
    <col min="3653" max="3653" customWidth="1" width="9.140625"/>
    <col min="3654" max="3654" customWidth="1" width="9.140625"/>
    <col min="3655" max="3655" customWidth="1" width="9.140625"/>
    <col min="3656" max="3656" customWidth="1" width="9.140625"/>
    <col min="3657" max="3657" customWidth="1" width="9.140625"/>
    <col min="3658" max="3658" customWidth="1" width="9.140625"/>
    <col min="3659" max="3659" customWidth="1" width="9.140625"/>
    <col min="3660" max="3660" customWidth="1" width="9.140625"/>
    <col min="3661" max="3661" customWidth="1" width="9.140625"/>
    <col min="3662" max="3662" customWidth="1" width="9.140625"/>
    <col min="3663" max="3663" customWidth="1" width="9.140625"/>
    <col min="3664" max="3664" customWidth="1" width="9.140625"/>
    <col min="3665" max="3665" customWidth="1" width="9.140625"/>
    <col min="3666" max="3666" customWidth="1" width="9.140625"/>
    <col min="3667" max="3667" customWidth="1" width="9.140625"/>
    <col min="3668" max="3668" customWidth="1" width="9.140625"/>
    <col min="3669" max="3669" customWidth="1" width="9.140625"/>
    <col min="3670" max="3670" customWidth="1" width="9.140625"/>
    <col min="3671" max="3671" customWidth="1" width="9.140625"/>
    <col min="3672" max="3672" customWidth="1" width="9.140625"/>
    <col min="3673" max="3673" customWidth="1" width="9.140625"/>
    <col min="3674" max="3674" customWidth="1" width="9.140625"/>
    <col min="3675" max="3675" customWidth="1" width="9.140625"/>
    <col min="3676" max="3676" customWidth="1" width="9.140625"/>
    <col min="3677" max="3677" customWidth="1" width="9.140625"/>
    <col min="3678" max="3678" customWidth="1" width="9.140625"/>
    <col min="3679" max="3679" customWidth="1" width="9.140625"/>
    <col min="3680" max="3680" customWidth="1" width="9.140625"/>
    <col min="3681" max="3681" customWidth="1" width="9.140625"/>
    <col min="3682" max="3682" customWidth="1" width="9.140625"/>
    <col min="3683" max="3683" customWidth="1" width="9.140625"/>
    <col min="3684" max="3684" customWidth="1" width="9.140625"/>
    <col min="3685" max="3685" customWidth="1" width="9.140625"/>
    <col min="3686" max="3686" customWidth="1" width="9.140625"/>
    <col min="3687" max="3687" customWidth="1" width="9.140625"/>
    <col min="3688" max="3688" customWidth="1" width="9.140625"/>
    <col min="3689" max="3689" customWidth="1" width="9.140625"/>
    <col min="3690" max="3690" customWidth="1" width="9.140625"/>
    <col min="3691" max="3691" customWidth="1" width="9.140625"/>
    <col min="3692" max="3692" customWidth="1" width="9.140625"/>
    <col min="3693" max="3693" customWidth="1" width="9.140625"/>
    <col min="3694" max="3694" customWidth="1" width="9.140625"/>
    <col min="3695" max="3695" customWidth="1" width="9.140625"/>
    <col min="3696" max="3696" customWidth="1" width="9.140625"/>
    <col min="3697" max="3697" customWidth="1" width="9.140625"/>
    <col min="3698" max="3698" customWidth="1" width="9.140625"/>
    <col min="3699" max="3699" customWidth="1" width="9.140625"/>
    <col min="3700" max="3700" customWidth="1" width="9.140625"/>
    <col min="3701" max="3701" customWidth="1" width="9.140625"/>
    <col min="3702" max="3702" customWidth="1" width="9.140625"/>
    <col min="3703" max="3703" customWidth="1" width="9.140625"/>
    <col min="3704" max="3704" customWidth="1" width="9.140625"/>
    <col min="3705" max="3705" customWidth="1" width="9.140625"/>
    <col min="3706" max="3706" customWidth="1" width="9.140625"/>
    <col min="3707" max="3707" customWidth="1" width="9.140625"/>
    <col min="3708" max="3708" customWidth="1" width="9.140625"/>
    <col min="3709" max="3709" customWidth="1" width="9.140625"/>
    <col min="3710" max="3710" customWidth="1" width="9.140625"/>
    <col min="3711" max="3711" customWidth="1" width="9.140625"/>
    <col min="3712" max="3712" customWidth="1" width="9.140625"/>
    <col min="3713" max="3713" customWidth="1" width="9.140625"/>
    <col min="3714" max="3714" customWidth="1" width="9.140625"/>
    <col min="3715" max="3715" customWidth="1" width="9.140625"/>
    <col min="3716" max="3716" customWidth="1" width="9.140625"/>
    <col min="3717" max="3717" customWidth="1" width="9.140625"/>
    <col min="3718" max="3718" customWidth="1" width="9.140625"/>
    <col min="3719" max="3719" customWidth="1" width="9.140625"/>
    <col min="3720" max="3720" customWidth="1" width="9.140625"/>
    <col min="3721" max="3721" customWidth="1" width="9.140625"/>
    <col min="3722" max="3722" customWidth="1" width="9.140625"/>
    <col min="3723" max="3723" customWidth="1" width="9.140625"/>
    <col min="3724" max="3724" customWidth="1" width="9.140625"/>
    <col min="3725" max="3725" customWidth="1" width="9.140625"/>
    <col min="3726" max="3726" customWidth="1" width="9.140625"/>
    <col min="3727" max="3727" customWidth="1" width="9.140625"/>
    <col min="3728" max="3728" customWidth="1" width="9.140625"/>
    <col min="3729" max="3729" customWidth="1" width="9.140625"/>
    <col min="3730" max="3730" customWidth="1" width="9.140625"/>
    <col min="3731" max="3731" customWidth="1" width="9.140625"/>
    <col min="3732" max="3732" customWidth="1" width="9.140625"/>
    <col min="3733" max="3733" customWidth="1" width="9.140625"/>
    <col min="3734" max="3734" customWidth="1" width="9.140625"/>
    <col min="3735" max="3735" customWidth="1" width="9.140625"/>
    <col min="3736" max="3736" customWidth="1" width="9.140625"/>
    <col min="3737" max="3737" customWidth="1" width="9.140625"/>
    <col min="3738" max="3738" customWidth="1" width="9.140625"/>
    <col min="3739" max="3739" customWidth="1" width="9.140625"/>
    <col min="3740" max="3740" customWidth="1" width="9.140625"/>
    <col min="3741" max="3741" customWidth="1" width="9.140625"/>
    <col min="3742" max="3742" customWidth="1" width="9.140625"/>
    <col min="3743" max="3743" customWidth="1" width="9.140625"/>
    <col min="3744" max="3744" customWidth="1" width="9.140625"/>
    <col min="3745" max="3745" customWidth="1" width="9.140625"/>
    <col min="3746" max="3746" customWidth="1" width="9.140625"/>
    <col min="3747" max="3747" customWidth="1" width="9.140625"/>
    <col min="3748" max="3748" customWidth="1" width="9.140625"/>
    <col min="3749" max="3749" customWidth="1" width="9.140625"/>
    <col min="3750" max="3750" customWidth="1" width="9.140625"/>
    <col min="3751" max="3751" customWidth="1" width="9.140625"/>
    <col min="3752" max="3752" customWidth="1" width="9.140625"/>
    <col min="3753" max="3753" customWidth="1" width="9.140625"/>
    <col min="3754" max="3754" customWidth="1" width="9.140625"/>
    <col min="3755" max="3755" customWidth="1" width="9.140625"/>
    <col min="3756" max="3756" customWidth="1" width="9.140625"/>
    <col min="3757" max="3757" customWidth="1" width="9.140625"/>
    <col min="3758" max="3758" customWidth="1" width="9.140625"/>
    <col min="3759" max="3759" customWidth="1" width="9.140625"/>
    <col min="3760" max="3760" customWidth="1" width="9.140625"/>
    <col min="3761" max="3761" customWidth="1" width="9.140625"/>
    <col min="3762" max="3762" customWidth="1" width="9.140625"/>
    <col min="3763" max="3763" customWidth="1" width="9.140625"/>
    <col min="3764" max="3764" customWidth="1" width="9.140625"/>
    <col min="3765" max="3765" customWidth="1" width="9.140625"/>
    <col min="3766" max="3766" customWidth="1" width="9.140625"/>
    <col min="3767" max="3767" customWidth="1" width="9.140625"/>
    <col min="3768" max="3768" customWidth="1" width="9.140625"/>
    <col min="3769" max="3769" customWidth="1" width="9.140625"/>
    <col min="3770" max="3770" customWidth="1" width="9.140625"/>
    <col min="3771" max="3771" customWidth="1" width="9.140625"/>
    <col min="3772" max="3772" customWidth="1" width="9.140625"/>
    <col min="3773" max="3773" customWidth="1" width="9.140625"/>
    <col min="3774" max="3774" customWidth="1" width="9.140625"/>
    <col min="3775" max="3775" customWidth="1" width="9.140625"/>
    <col min="3776" max="3776" customWidth="1" width="9.140625"/>
    <col min="3777" max="3777" customWidth="1" width="9.140625"/>
    <col min="3778" max="3778" customWidth="1" width="9.140625"/>
    <col min="3779" max="3779" customWidth="1" width="9.140625"/>
    <col min="3780" max="3780" customWidth="1" width="9.140625"/>
    <col min="3781" max="3781" customWidth="1" width="9.140625"/>
    <col min="3782" max="3782" customWidth="1" width="9.140625"/>
    <col min="3783" max="3783" customWidth="1" width="9.140625"/>
    <col min="3784" max="3784" customWidth="1" width="9.140625"/>
    <col min="3785" max="3785" customWidth="1" width="9.140625"/>
    <col min="3786" max="3786" customWidth="1" width="9.140625"/>
    <col min="3787" max="3787" customWidth="1" width="9.140625"/>
    <col min="3788" max="3788" customWidth="1" width="9.140625"/>
    <col min="3789" max="3789" customWidth="1" width="9.140625"/>
    <col min="3790" max="3790" customWidth="1" width="9.140625"/>
    <col min="3791" max="3791" customWidth="1" width="9.140625"/>
    <col min="3792" max="3792" customWidth="1" width="9.140625"/>
    <col min="3793" max="3793" customWidth="1" width="9.140625"/>
    <col min="3794" max="3794" customWidth="1" width="9.140625"/>
    <col min="3795" max="3795" customWidth="1" width="9.140625"/>
    <col min="3796" max="3796" customWidth="1" width="9.140625"/>
    <col min="3797" max="3797" customWidth="1" width="9.140625"/>
    <col min="3798" max="3798" customWidth="1" width="9.140625"/>
    <col min="3799" max="3799" customWidth="1" width="9.140625"/>
    <col min="3800" max="3800" customWidth="1" width="9.140625"/>
    <col min="3801" max="3801" customWidth="1" width="9.140625"/>
    <col min="3802" max="3802" customWidth="1" width="9.140625"/>
    <col min="3803" max="3803" customWidth="1" width="9.140625"/>
    <col min="3804" max="3804" customWidth="1" width="9.140625"/>
    <col min="3805" max="3805" customWidth="1" width="9.140625"/>
    <col min="3806" max="3806" customWidth="1" width="9.140625"/>
    <col min="3807" max="3807" customWidth="1" width="9.140625"/>
    <col min="3808" max="3808" customWidth="1" width="9.140625"/>
    <col min="3809" max="3809" customWidth="1" width="9.140625"/>
    <col min="3810" max="3810" customWidth="1" width="9.140625"/>
    <col min="3811" max="3811" customWidth="1" width="9.140625"/>
    <col min="3812" max="3812" customWidth="1" width="9.140625"/>
    <col min="3813" max="3813" customWidth="1" width="9.140625"/>
    <col min="3814" max="3814" customWidth="1" width="9.140625"/>
    <col min="3815" max="3815" customWidth="1" width="9.140625"/>
    <col min="3816" max="3816" customWidth="1" width="9.140625"/>
    <col min="3817" max="3817" customWidth="1" width="9.140625"/>
    <col min="3818" max="3818" customWidth="1" width="9.140625"/>
    <col min="3819" max="3819" customWidth="1" width="9.140625"/>
    <col min="3820" max="3820" customWidth="1" width="9.140625"/>
    <col min="3821" max="3821" customWidth="1" width="9.140625"/>
    <col min="3822" max="3822" customWidth="1" width="9.140625"/>
    <col min="3823" max="3823" customWidth="1" width="9.140625"/>
    <col min="3824" max="3824" customWidth="1" width="9.140625"/>
    <col min="3825" max="3825" customWidth="1" width="9.140625"/>
    <col min="3826" max="3826" customWidth="1" width="9.140625"/>
    <col min="3827" max="3827" customWidth="1" width="9.140625"/>
    <col min="3828" max="3828" customWidth="1" width="9.140625"/>
    <col min="3829" max="3829" customWidth="1" width="9.140625"/>
    <col min="3830" max="3830" customWidth="1" width="9.140625"/>
    <col min="3831" max="3831" customWidth="1" width="9.140625"/>
    <col min="3832" max="3832" customWidth="1" width="9.140625"/>
    <col min="3833" max="3833" customWidth="1" width="9.140625"/>
    <col min="3834" max="3834" customWidth="1" width="9.140625"/>
    <col min="3835" max="3835" customWidth="1" width="9.140625"/>
    <col min="3836" max="3836" customWidth="1" width="9.140625"/>
    <col min="3837" max="3837" customWidth="1" width="9.140625"/>
    <col min="3838" max="3838" customWidth="1" width="9.140625"/>
    <col min="3839" max="3839" customWidth="1" width="9.140625"/>
    <col min="3840" max="3840" customWidth="1" width="9.140625"/>
    <col min="3841" max="3841" customWidth="1" width="9.140625"/>
    <col min="3842" max="3842" customWidth="1" width="9.140625"/>
    <col min="3843" max="3843" customWidth="1" width="9.140625"/>
    <col min="3844" max="3844" customWidth="1" width="9.140625"/>
    <col min="3845" max="3845" customWidth="1" width="9.140625"/>
    <col min="3846" max="3846" customWidth="1" width="9.140625"/>
    <col min="3847" max="3847" customWidth="1" width="9.140625"/>
    <col min="3848" max="3848" customWidth="1" width="9.140625"/>
    <col min="3849" max="3849" customWidth="1" width="9.140625"/>
    <col min="3850" max="3850" customWidth="1" width="9.140625"/>
    <col min="3851" max="3851" customWidth="1" width="9.140625"/>
    <col min="3852" max="3852" customWidth="1" width="9.140625"/>
    <col min="3853" max="3853" customWidth="1" width="9.140625"/>
    <col min="3854" max="3854" customWidth="1" width="9.140625"/>
    <col min="3855" max="3855" customWidth="1" width="9.140625"/>
    <col min="3856" max="3856" customWidth="1" width="9.140625"/>
    <col min="3857" max="3857" customWidth="1" width="9.140625"/>
    <col min="3858" max="3858" customWidth="1" width="9.140625"/>
    <col min="3859" max="3859" customWidth="1" width="9.140625"/>
    <col min="3860" max="3860" customWidth="1" width="9.140625"/>
    <col min="3861" max="3861" customWidth="1" width="9.140625"/>
    <col min="3862" max="3862" customWidth="1" width="9.140625"/>
    <col min="3863" max="3863" customWidth="1" width="9.140625"/>
    <col min="3864" max="3864" customWidth="1" width="9.140625"/>
    <col min="3865" max="3865" customWidth="1" width="9.140625"/>
    <col min="3866" max="3866" customWidth="1" width="9.140625"/>
    <col min="3867" max="3867" customWidth="1" width="9.140625"/>
    <col min="3868" max="3868" customWidth="1" width="9.140625"/>
    <col min="3869" max="3869" customWidth="1" width="9.140625"/>
    <col min="3870" max="3870" customWidth="1" width="9.140625"/>
    <col min="3871" max="3871" customWidth="1" width="9.140625"/>
    <col min="3872" max="3872" customWidth="1" width="9.140625"/>
    <col min="3873" max="3873" customWidth="1" width="9.140625"/>
    <col min="3874" max="3874" customWidth="1" width="9.140625"/>
    <col min="3875" max="3875" customWidth="1" width="9.140625"/>
    <col min="3876" max="3876" customWidth="1" width="9.140625"/>
    <col min="3877" max="3877" customWidth="1" width="9.140625"/>
    <col min="3878" max="3878" customWidth="1" width="9.140625"/>
    <col min="3879" max="3879" customWidth="1" width="9.140625"/>
    <col min="3880" max="3880" customWidth="1" width="9.140625"/>
    <col min="3881" max="3881" customWidth="1" width="9.140625"/>
    <col min="3882" max="3882" customWidth="1" width="9.140625"/>
    <col min="3883" max="3883" customWidth="1" width="9.140625"/>
    <col min="3884" max="3884" customWidth="1" width="9.140625"/>
    <col min="3885" max="3885" customWidth="1" width="9.140625"/>
    <col min="3886" max="3886" customWidth="1" width="9.140625"/>
    <col min="3887" max="3887" customWidth="1" width="9.140625"/>
    <col min="3888" max="3888" customWidth="1" width="9.140625"/>
    <col min="3889" max="3889" customWidth="1" width="9.140625"/>
    <col min="3890" max="3890" customWidth="1" width="9.140625"/>
    <col min="3891" max="3891" customWidth="1" width="9.140625"/>
    <col min="3892" max="3892" customWidth="1" width="9.140625"/>
    <col min="3893" max="3893" customWidth="1" width="9.140625"/>
    <col min="3894" max="3894" customWidth="1" width="9.140625"/>
    <col min="3895" max="3895" customWidth="1" width="9.140625"/>
    <col min="3896" max="3896" customWidth="1" width="9.140625"/>
    <col min="3897" max="3897" customWidth="1" width="9.140625"/>
    <col min="3898" max="3898" customWidth="1" width="9.140625"/>
    <col min="3899" max="3899" customWidth="1" width="9.140625"/>
    <col min="3900" max="3900" customWidth="1" width="9.140625"/>
    <col min="3901" max="3901" customWidth="1" width="9.140625"/>
    <col min="3902" max="3902" customWidth="1" width="9.140625"/>
    <col min="3903" max="3903" customWidth="1" width="9.140625"/>
    <col min="3904" max="3904" customWidth="1" width="9.140625"/>
    <col min="3905" max="3905" customWidth="1" width="9.140625"/>
    <col min="3906" max="3906" customWidth="1" width="9.140625"/>
    <col min="3907" max="3907" customWidth="1" width="9.140625"/>
    <col min="3908" max="3908" customWidth="1" width="9.140625"/>
    <col min="3909" max="3909" customWidth="1" width="9.140625"/>
    <col min="3910" max="3910" customWidth="1" width="9.140625"/>
    <col min="3911" max="3911" customWidth="1" width="9.140625"/>
    <col min="3912" max="3912" customWidth="1" width="9.140625"/>
    <col min="3913" max="3913" customWidth="1" width="9.140625"/>
    <col min="3914" max="3914" customWidth="1" width="9.140625"/>
    <col min="3915" max="3915" customWidth="1" width="9.140625"/>
    <col min="3916" max="3916" customWidth="1" width="9.140625"/>
    <col min="3917" max="3917" customWidth="1" width="9.140625"/>
    <col min="3918" max="3918" customWidth="1" width="9.140625"/>
    <col min="3919" max="3919" customWidth="1" width="9.140625"/>
    <col min="3920" max="3920" customWidth="1" width="9.140625"/>
    <col min="3921" max="3921" customWidth="1" width="9.140625"/>
    <col min="3922" max="3922" customWidth="1" width="9.140625"/>
    <col min="3923" max="3923" customWidth="1" width="9.140625"/>
    <col min="3924" max="3924" customWidth="1" width="9.140625"/>
    <col min="3925" max="3925" customWidth="1" width="9.140625"/>
    <col min="3926" max="3926" customWidth="1" width="9.140625"/>
    <col min="3927" max="3927" customWidth="1" width="9.140625"/>
    <col min="3928" max="3928" customWidth="1" width="9.140625"/>
    <col min="3929" max="3929" customWidth="1" width="9.140625"/>
    <col min="3930" max="3930" customWidth="1" width="9.140625"/>
    <col min="3931" max="3931" customWidth="1" width="9.140625"/>
    <col min="3932" max="3932" customWidth="1" width="9.140625"/>
    <col min="3933" max="3933" customWidth="1" width="9.140625"/>
    <col min="3934" max="3934" customWidth="1" width="9.140625"/>
    <col min="3935" max="3935" customWidth="1" width="9.140625"/>
    <col min="3936" max="3936" customWidth="1" width="9.140625"/>
    <col min="3937" max="3937" customWidth="1" width="9.140625"/>
    <col min="3938" max="3938" customWidth="1" width="9.140625"/>
    <col min="3939" max="3939" customWidth="1" width="9.140625"/>
    <col min="3940" max="3940" customWidth="1" width="9.140625"/>
    <col min="3941" max="3941" customWidth="1" width="9.140625"/>
    <col min="3942" max="3942" customWidth="1" width="9.140625"/>
    <col min="3943" max="3943" customWidth="1" width="9.140625"/>
    <col min="3944" max="3944" customWidth="1" width="9.140625"/>
    <col min="3945" max="3945" customWidth="1" width="9.140625"/>
    <col min="3946" max="3946" customWidth="1" width="9.140625"/>
    <col min="3947" max="3947" customWidth="1" width="9.140625"/>
    <col min="3948" max="3948" customWidth="1" width="9.140625"/>
    <col min="3949" max="3949" customWidth="1" width="9.140625"/>
    <col min="3950" max="3950" customWidth="1" width="9.140625"/>
    <col min="3951" max="3951" customWidth="1" width="9.140625"/>
    <col min="3952" max="3952" customWidth="1" width="9.140625"/>
    <col min="3953" max="3953" customWidth="1" width="9.140625"/>
    <col min="3954" max="3954" customWidth="1" width="9.140625"/>
    <col min="3955" max="3955" customWidth="1" width="9.140625"/>
    <col min="3956" max="3956" customWidth="1" width="9.140625"/>
    <col min="3957" max="3957" customWidth="1" width="9.140625"/>
    <col min="3958" max="3958" customWidth="1" width="9.140625"/>
    <col min="3959" max="3959" customWidth="1" width="9.140625"/>
    <col min="3960" max="3960" customWidth="1" width="9.140625"/>
    <col min="3961" max="3961" customWidth="1" width="9.140625"/>
    <col min="3962" max="3962" customWidth="1" width="9.140625"/>
    <col min="3963" max="3963" customWidth="1" width="9.140625"/>
    <col min="3964" max="3964" customWidth="1" width="9.140625"/>
    <col min="3965" max="3965" customWidth="1" width="9.140625"/>
    <col min="3966" max="3966" customWidth="1" width="9.140625"/>
    <col min="3967" max="3967" customWidth="1" width="9.140625"/>
    <col min="3968" max="3968" customWidth="1" width="9.140625"/>
    <col min="3969" max="3969" customWidth="1" width="9.140625"/>
    <col min="3970" max="3970" customWidth="1" width="9.140625"/>
    <col min="3971" max="3971" customWidth="1" width="9.140625"/>
    <col min="3972" max="3972" customWidth="1" width="9.140625"/>
    <col min="3973" max="3973" customWidth="1" width="9.140625"/>
    <col min="3974" max="3974" customWidth="1" width="9.140625"/>
    <col min="3975" max="3975" customWidth="1" width="9.140625"/>
    <col min="3976" max="3976" customWidth="1" width="9.140625"/>
    <col min="3977" max="3977" customWidth="1" width="9.140625"/>
    <col min="3978" max="3978" customWidth="1" width="9.140625"/>
    <col min="3979" max="3979" customWidth="1" width="9.140625"/>
    <col min="3980" max="3980" customWidth="1" width="9.140625"/>
    <col min="3981" max="3981" customWidth="1" width="9.140625"/>
    <col min="3982" max="3982" customWidth="1" width="9.140625"/>
    <col min="3983" max="3983" customWidth="1" width="9.140625"/>
    <col min="3984" max="3984" customWidth="1" width="9.140625"/>
    <col min="3985" max="3985" customWidth="1" width="9.140625"/>
    <col min="3986" max="3986" customWidth="1" width="9.140625"/>
    <col min="3987" max="3987" customWidth="1" width="9.140625"/>
    <col min="3988" max="3988" customWidth="1" width="9.140625"/>
    <col min="3989" max="3989" customWidth="1" width="9.140625"/>
    <col min="3990" max="3990" customWidth="1" width="9.140625"/>
    <col min="3991" max="3991" customWidth="1" width="9.140625"/>
    <col min="3992" max="3992" customWidth="1" width="9.140625"/>
    <col min="3993" max="3993" customWidth="1" width="9.140625"/>
    <col min="3994" max="3994" customWidth="1" width="9.140625"/>
    <col min="3995" max="3995" customWidth="1" width="9.140625"/>
    <col min="3996" max="3996" customWidth="1" width="9.140625"/>
    <col min="3997" max="3997" customWidth="1" width="9.140625"/>
    <col min="3998" max="3998" customWidth="1" width="9.140625"/>
    <col min="3999" max="3999" customWidth="1" width="9.140625"/>
    <col min="4000" max="4000" customWidth="1" width="9.140625"/>
    <col min="4001" max="4001" customWidth="1" width="9.140625"/>
    <col min="4002" max="4002" customWidth="1" width="9.140625"/>
    <col min="4003" max="4003" customWidth="1" width="9.140625"/>
    <col min="4004" max="4004" customWidth="1" width="9.140625"/>
    <col min="4005" max="4005" customWidth="1" width="9.140625"/>
    <col min="4006" max="4006" customWidth="1" width="9.140625"/>
    <col min="4007" max="4007" customWidth="1" width="9.140625"/>
    <col min="4008" max="4008" customWidth="1" width="9.140625"/>
    <col min="4009" max="4009" customWidth="1" width="9.140625"/>
    <col min="4010" max="4010" customWidth="1" width="9.140625"/>
    <col min="4011" max="4011" customWidth="1" width="9.140625"/>
    <col min="4012" max="4012" customWidth="1" width="9.140625"/>
    <col min="4013" max="4013" customWidth="1" width="9.140625"/>
    <col min="4014" max="4014" customWidth="1" width="9.140625"/>
    <col min="4015" max="4015" customWidth="1" width="9.140625"/>
    <col min="4016" max="4016" customWidth="1" width="9.140625"/>
    <col min="4017" max="4017" customWidth="1" width="9.140625"/>
    <col min="4018" max="4018" customWidth="1" width="9.140625"/>
    <col min="4019" max="4019" customWidth="1" width="9.140625"/>
    <col min="4020" max="4020" customWidth="1" width="9.140625"/>
    <col min="4021" max="4021" customWidth="1" width="9.140625"/>
    <col min="4022" max="4022" customWidth="1" width="9.140625"/>
    <col min="4023" max="4023" customWidth="1" width="9.140625"/>
    <col min="4024" max="4024" customWidth="1" width="9.140625"/>
    <col min="4025" max="4025" customWidth="1" width="9.140625"/>
    <col min="4026" max="4026" customWidth="1" width="9.140625"/>
    <col min="4027" max="4027" customWidth="1" width="9.140625"/>
    <col min="4028" max="4028" customWidth="1" width="9.140625"/>
    <col min="4029" max="4029" customWidth="1" width="9.140625"/>
    <col min="4030" max="4030" customWidth="1" width="9.140625"/>
    <col min="4031" max="4031" customWidth="1" width="9.140625"/>
    <col min="4032" max="4032" customWidth="1" width="9.140625"/>
    <col min="4033" max="4033" customWidth="1" width="9.140625"/>
    <col min="4034" max="4034" customWidth="1" width="9.140625"/>
    <col min="4035" max="4035" customWidth="1" width="9.140625"/>
    <col min="4036" max="4036" customWidth="1" width="9.140625"/>
    <col min="4037" max="4037" customWidth="1" width="9.140625"/>
    <col min="4038" max="4038" customWidth="1" width="9.140625"/>
    <col min="4039" max="4039" customWidth="1" width="9.140625"/>
    <col min="4040" max="4040" customWidth="1" width="9.140625"/>
    <col min="4041" max="4041" customWidth="1" width="9.140625"/>
    <col min="4042" max="4042" customWidth="1" width="9.140625"/>
    <col min="4043" max="4043" customWidth="1" width="9.140625"/>
    <col min="4044" max="4044" customWidth="1" width="9.140625"/>
    <col min="4045" max="4045" customWidth="1" width="9.140625"/>
    <col min="4046" max="4046" customWidth="1" width="9.140625"/>
    <col min="4047" max="4047" customWidth="1" width="9.140625"/>
    <col min="4048" max="4048" customWidth="1" width="9.140625"/>
    <col min="4049" max="4049" customWidth="1" width="9.140625"/>
    <col min="4050" max="4050" customWidth="1" width="9.140625"/>
    <col min="4051" max="4051" customWidth="1" width="9.140625"/>
    <col min="4052" max="4052" customWidth="1" width="9.140625"/>
    <col min="4053" max="4053" customWidth="1" width="9.140625"/>
    <col min="4054" max="4054" customWidth="1" width="9.140625"/>
    <col min="4055" max="4055" customWidth="1" width="9.140625"/>
    <col min="4056" max="4056" customWidth="1" width="9.140625"/>
    <col min="4057" max="4057" customWidth="1" width="9.140625"/>
    <col min="4058" max="4058" customWidth="1" width="9.140625"/>
    <col min="4059" max="4059" customWidth="1" width="9.140625"/>
    <col min="4060" max="4060" customWidth="1" width="9.140625"/>
    <col min="4061" max="4061" customWidth="1" width="9.140625"/>
    <col min="4062" max="4062" customWidth="1" width="9.140625"/>
    <col min="4063" max="4063" customWidth="1" width="9.140625"/>
    <col min="4064" max="4064" customWidth="1" width="9.140625"/>
    <col min="4065" max="4065" customWidth="1" width="9.140625"/>
    <col min="4066" max="4066" customWidth="1" width="9.140625"/>
    <col min="4067" max="4067" customWidth="1" width="9.140625"/>
    <col min="4068" max="4068" customWidth="1" width="9.140625"/>
    <col min="4069" max="4069" customWidth="1" width="9.140625"/>
    <col min="4070" max="4070" customWidth="1" width="9.140625"/>
    <col min="4071" max="4071" customWidth="1" width="9.140625"/>
    <col min="4072" max="4072" customWidth="1" width="9.140625"/>
    <col min="4073" max="4073" customWidth="1" width="9.140625"/>
    <col min="4074" max="4074" customWidth="1" width="9.140625"/>
    <col min="4075" max="4075" customWidth="1" width="9.140625"/>
    <col min="4076" max="4076" customWidth="1" width="9.140625"/>
    <col min="4077" max="4077" customWidth="1" width="9.140625"/>
    <col min="4078" max="4078" customWidth="1" width="9.140625"/>
    <col min="4079" max="4079" customWidth="1" width="9.140625"/>
    <col min="4080" max="4080" customWidth="1" width="9.140625"/>
    <col min="4081" max="4081" customWidth="1" width="9.140625"/>
    <col min="4082" max="4082" customWidth="1" width="9.140625"/>
    <col min="4083" max="4083" customWidth="1" width="9.140625"/>
    <col min="4084" max="4084" customWidth="1" width="9.140625"/>
    <col min="4085" max="4085" customWidth="1" width="9.140625"/>
    <col min="4086" max="4086" customWidth="1" width="9.140625"/>
    <col min="4087" max="4087" customWidth="1" width="9.140625"/>
    <col min="4088" max="4088" customWidth="1" width="9.140625"/>
    <col min="4089" max="4089" customWidth="1" width="9.140625"/>
    <col min="4090" max="4090" customWidth="1" width="9.140625"/>
    <col min="4091" max="4091" customWidth="1" width="9.140625"/>
    <col min="4092" max="4092" customWidth="1" width="9.140625"/>
    <col min="4093" max="4093" customWidth="1" width="9.140625"/>
    <col min="4094" max="4094" customWidth="1" width="9.140625"/>
    <col min="4095" max="4095" customWidth="1" width="9.140625"/>
    <col min="4096" max="4096" customWidth="1" width="9.140625"/>
    <col min="4097" max="4097" customWidth="1" width="9.140625"/>
    <col min="4098" max="4098" customWidth="1" width="9.140625"/>
    <col min="4099" max="4099" customWidth="1" width="9.140625"/>
    <col min="4100" max="4100" customWidth="1" width="9.140625"/>
    <col min="4101" max="4101" customWidth="1" width="9.140625"/>
    <col min="4102" max="4102" customWidth="1" width="9.140625"/>
    <col min="4103" max="4103" customWidth="1" width="9.140625"/>
    <col min="4104" max="4104" customWidth="1" width="9.140625"/>
    <col min="4105" max="4105" customWidth="1" width="9.140625"/>
    <col min="4106" max="4106" customWidth="1" width="9.140625"/>
    <col min="4107" max="4107" customWidth="1" width="9.140625"/>
    <col min="4108" max="4108" customWidth="1" width="9.140625"/>
    <col min="4109" max="4109" customWidth="1" width="9.140625"/>
    <col min="4110" max="4110" customWidth="1" width="9.140625"/>
    <col min="4111" max="4111" customWidth="1" width="9.140625"/>
    <col min="4112" max="4112" customWidth="1" width="9.140625"/>
    <col min="4113" max="4113" customWidth="1" width="9.140625"/>
    <col min="4114" max="4114" customWidth="1" width="9.140625"/>
    <col min="4115" max="4115" customWidth="1" width="9.140625"/>
    <col min="4116" max="4116" customWidth="1" width="9.140625"/>
    <col min="4117" max="4117" customWidth="1" width="9.140625"/>
    <col min="4118" max="4118" customWidth="1" width="9.140625"/>
    <col min="4119" max="4119" customWidth="1" width="9.140625"/>
    <col min="4120" max="4120" customWidth="1" width="9.140625"/>
    <col min="4121" max="4121" customWidth="1" width="9.140625"/>
    <col min="4122" max="4122" customWidth="1" width="9.140625"/>
    <col min="4123" max="4123" customWidth="1" width="9.140625"/>
    <col min="4124" max="4124" customWidth="1" width="9.140625"/>
    <col min="4125" max="4125" customWidth="1" width="9.140625"/>
    <col min="4126" max="4126" customWidth="1" width="9.140625"/>
    <col min="4127" max="4127" customWidth="1" width="9.140625"/>
    <col min="4128" max="4128" customWidth="1" width="9.140625"/>
    <col min="4129" max="4129" customWidth="1" width="9.140625"/>
    <col min="4130" max="4130" customWidth="1" width="9.140625"/>
    <col min="4131" max="4131" customWidth="1" width="9.140625"/>
    <col min="4132" max="4132" customWidth="1" width="9.140625"/>
    <col min="4133" max="4133" customWidth="1" width="9.140625"/>
    <col min="4134" max="4134" customWidth="1" width="9.140625"/>
    <col min="4135" max="4135" customWidth="1" width="9.140625"/>
    <col min="4136" max="4136" customWidth="1" width="9.140625"/>
    <col min="4137" max="4137" customWidth="1" width="9.140625"/>
    <col min="4138" max="4138" customWidth="1" width="9.140625"/>
    <col min="4139" max="4139" customWidth="1" width="9.140625"/>
    <col min="4140" max="4140" customWidth="1" width="9.140625"/>
    <col min="4141" max="4141" customWidth="1" width="9.140625"/>
    <col min="4142" max="4142" customWidth="1" width="9.140625"/>
    <col min="4143" max="4143" customWidth="1" width="9.140625"/>
    <col min="4144" max="4144" customWidth="1" width="9.140625"/>
    <col min="4145" max="4145" customWidth="1" width="9.140625"/>
    <col min="4146" max="4146" customWidth="1" width="9.140625"/>
    <col min="4147" max="4147" customWidth="1" width="9.140625"/>
    <col min="4148" max="4148" customWidth="1" width="9.140625"/>
    <col min="4149" max="4149" customWidth="1" width="9.140625"/>
    <col min="4150" max="4150" customWidth="1" width="9.140625"/>
    <col min="4151" max="4151" customWidth="1" width="9.140625"/>
    <col min="4152" max="4152" customWidth="1" width="9.140625"/>
    <col min="4153" max="4153" customWidth="1" width="9.140625"/>
    <col min="4154" max="4154" customWidth="1" width="9.140625"/>
    <col min="4155" max="4155" customWidth="1" width="9.140625"/>
    <col min="4156" max="4156" customWidth="1" width="9.140625"/>
    <col min="4157" max="4157" customWidth="1" width="9.140625"/>
    <col min="4158" max="4158" customWidth="1" width="9.140625"/>
    <col min="4159" max="4159" customWidth="1" width="9.140625"/>
    <col min="4160" max="4160" customWidth="1" width="9.140625"/>
    <col min="4161" max="4161" customWidth="1" width="9.140625"/>
    <col min="4162" max="4162" customWidth="1" width="9.140625"/>
    <col min="4163" max="4163" customWidth="1" width="9.140625"/>
    <col min="4164" max="4164" customWidth="1" width="9.140625"/>
    <col min="4165" max="4165" customWidth="1" width="9.140625"/>
    <col min="4166" max="4166" customWidth="1" width="9.140625"/>
    <col min="4167" max="4167" customWidth="1" width="9.140625"/>
    <col min="4168" max="4168" customWidth="1" width="9.140625"/>
    <col min="4169" max="4169" customWidth="1" width="9.140625"/>
    <col min="4170" max="4170" customWidth="1" width="9.140625"/>
    <col min="4171" max="4171" customWidth="1" width="9.140625"/>
    <col min="4172" max="4172" customWidth="1" width="9.140625"/>
    <col min="4173" max="4173" customWidth="1" width="9.140625"/>
    <col min="4174" max="4174" customWidth="1" width="9.140625"/>
    <col min="4175" max="4175" customWidth="1" width="9.140625"/>
    <col min="4176" max="4176" customWidth="1" width="9.140625"/>
    <col min="4177" max="4177" customWidth="1" width="9.140625"/>
    <col min="4178" max="4178" customWidth="1" width="9.140625"/>
    <col min="4179" max="4179" customWidth="1" width="9.140625"/>
    <col min="4180" max="4180" customWidth="1" width="9.140625"/>
    <col min="4181" max="4181" customWidth="1" width="9.140625"/>
    <col min="4182" max="4182" customWidth="1" width="9.140625"/>
    <col min="4183" max="4183" customWidth="1" width="9.140625"/>
    <col min="4184" max="4184" customWidth="1" width="9.140625"/>
    <col min="4185" max="4185" customWidth="1" width="9.140625"/>
    <col min="4186" max="4186" customWidth="1" width="9.140625"/>
    <col min="4187" max="4187" customWidth="1" width="9.140625"/>
    <col min="4188" max="4188" customWidth="1" width="9.140625"/>
    <col min="4189" max="4189" customWidth="1" width="9.140625"/>
    <col min="4190" max="4190" customWidth="1" width="9.140625"/>
    <col min="4191" max="4191" customWidth="1" width="9.140625"/>
    <col min="4192" max="4192" customWidth="1" width="9.140625"/>
    <col min="4193" max="4193" customWidth="1" width="9.140625"/>
    <col min="4194" max="4194" customWidth="1" width="9.140625"/>
    <col min="4195" max="4195" customWidth="1" width="9.140625"/>
    <col min="4196" max="4196" customWidth="1" width="9.140625"/>
    <col min="4197" max="4197" customWidth="1" width="9.140625"/>
    <col min="4198" max="4198" customWidth="1" width="9.140625"/>
    <col min="4199" max="4199" customWidth="1" width="9.140625"/>
    <col min="4200" max="4200" customWidth="1" width="9.140625"/>
    <col min="4201" max="4201" customWidth="1" width="9.140625"/>
    <col min="4202" max="4202" customWidth="1" width="9.140625"/>
    <col min="4203" max="4203" customWidth="1" width="9.140625"/>
    <col min="4204" max="4204" customWidth="1" width="9.140625"/>
    <col min="4205" max="4205" customWidth="1" width="9.140625"/>
    <col min="4206" max="4206" customWidth="1" width="9.140625"/>
    <col min="4207" max="4207" customWidth="1" width="9.140625"/>
    <col min="4208" max="4208" customWidth="1" width="9.140625"/>
    <col min="4209" max="4209" customWidth="1" width="9.140625"/>
    <col min="4210" max="4210" customWidth="1" width="9.140625"/>
    <col min="4211" max="4211" customWidth="1" width="9.140625"/>
    <col min="4212" max="4212" customWidth="1" width="9.140625"/>
    <col min="4213" max="4213" customWidth="1" width="9.140625"/>
    <col min="4214" max="4214" customWidth="1" width="9.140625"/>
    <col min="4215" max="4215" customWidth="1" width="9.140625"/>
    <col min="4216" max="4216" customWidth="1" width="9.140625"/>
    <col min="4217" max="4217" customWidth="1" width="9.140625"/>
    <col min="4218" max="4218" customWidth="1" width="9.140625"/>
    <col min="4219" max="4219" customWidth="1" width="9.140625"/>
    <col min="4220" max="4220" customWidth="1" width="9.140625"/>
    <col min="4221" max="4221" customWidth="1" width="9.140625"/>
    <col min="4222" max="4222" customWidth="1" width="9.140625"/>
    <col min="4223" max="4223" customWidth="1" width="9.140625"/>
    <col min="4224" max="4224" customWidth="1" width="9.140625"/>
    <col min="4225" max="4225" customWidth="1" width="9.140625"/>
    <col min="4226" max="4226" customWidth="1" width="9.140625"/>
    <col min="4227" max="4227" customWidth="1" width="9.140625"/>
    <col min="4228" max="4228" customWidth="1" width="9.140625"/>
    <col min="4229" max="4229" customWidth="1" width="9.140625"/>
    <col min="4230" max="4230" customWidth="1" width="9.140625"/>
    <col min="4231" max="4231" customWidth="1" width="9.140625"/>
    <col min="4232" max="4232" customWidth="1" width="9.140625"/>
    <col min="4233" max="4233" customWidth="1" width="9.140625"/>
    <col min="4234" max="4234" customWidth="1" width="9.140625"/>
    <col min="4235" max="4235" customWidth="1" width="9.140625"/>
    <col min="4236" max="4236" customWidth="1" width="9.140625"/>
    <col min="4237" max="4237" customWidth="1" width="9.140625"/>
    <col min="4238" max="4238" customWidth="1" width="9.140625"/>
    <col min="4239" max="4239" customWidth="1" width="9.140625"/>
    <col min="4240" max="4240" customWidth="1" width="9.140625"/>
    <col min="4241" max="4241" customWidth="1" width="9.140625"/>
    <col min="4242" max="4242" customWidth="1" width="9.140625"/>
    <col min="4243" max="4243" customWidth="1" width="9.140625"/>
    <col min="4244" max="4244" customWidth="1" width="9.140625"/>
    <col min="4245" max="4245" customWidth="1" width="9.140625"/>
    <col min="4246" max="4246" customWidth="1" width="9.140625"/>
    <col min="4247" max="4247" customWidth="1" width="9.140625"/>
    <col min="4248" max="4248" customWidth="1" width="9.140625"/>
    <col min="4249" max="4249" customWidth="1" width="9.140625"/>
    <col min="4250" max="4250" customWidth="1" width="9.140625"/>
    <col min="4251" max="4251" customWidth="1" width="9.140625"/>
    <col min="4252" max="4252" customWidth="1" width="9.140625"/>
    <col min="4253" max="4253" customWidth="1" width="9.140625"/>
    <col min="4254" max="4254" customWidth="1" width="9.140625"/>
    <col min="4255" max="4255" customWidth="1" width="9.140625"/>
    <col min="4256" max="4256" customWidth="1" width="9.140625"/>
    <col min="4257" max="4257" customWidth="1" width="9.140625"/>
    <col min="4258" max="4258" customWidth="1" width="9.140625"/>
    <col min="4259" max="4259" customWidth="1" width="9.140625"/>
    <col min="4260" max="4260" customWidth="1" width="9.140625"/>
    <col min="4261" max="4261" customWidth="1" width="9.140625"/>
    <col min="4262" max="4262" customWidth="1" width="9.140625"/>
    <col min="4263" max="4263" customWidth="1" width="9.140625"/>
    <col min="4264" max="4264" customWidth="1" width="9.140625"/>
    <col min="4265" max="4265" customWidth="1" width="9.140625"/>
    <col min="4266" max="4266" customWidth="1" width="9.140625"/>
    <col min="4267" max="4267" customWidth="1" width="9.140625"/>
    <col min="4268" max="4268" customWidth="1" width="9.140625"/>
    <col min="4269" max="4269" customWidth="1" width="9.140625"/>
    <col min="4270" max="4270" customWidth="1" width="9.140625"/>
    <col min="4271" max="4271" customWidth="1" width="9.140625"/>
    <col min="4272" max="4272" customWidth="1" width="9.140625"/>
    <col min="4273" max="4273" customWidth="1" width="9.140625"/>
    <col min="4274" max="4274" customWidth="1" width="9.140625"/>
    <col min="4275" max="4275" customWidth="1" width="9.140625"/>
    <col min="4276" max="4276" customWidth="1" width="9.140625"/>
    <col min="4277" max="4277" customWidth="1" width="9.140625"/>
    <col min="4278" max="4278" customWidth="1" width="9.140625"/>
    <col min="4279" max="4279" customWidth="1" width="9.140625"/>
    <col min="4280" max="4280" customWidth="1" width="9.140625"/>
    <col min="4281" max="4281" customWidth="1" width="9.140625"/>
    <col min="4282" max="4282" customWidth="1" width="9.140625"/>
    <col min="4283" max="4283" customWidth="1" width="9.140625"/>
    <col min="4284" max="4284" customWidth="1" width="9.140625"/>
    <col min="4285" max="4285" customWidth="1" width="9.140625"/>
    <col min="4286" max="4286" customWidth="1" width="9.140625"/>
    <col min="4287" max="4287" customWidth="1" width="9.140625"/>
    <col min="4288" max="4288" customWidth="1" width="9.140625"/>
    <col min="4289" max="4289" customWidth="1" width="9.140625"/>
    <col min="4290" max="4290" customWidth="1" width="9.140625"/>
    <col min="4291" max="4291" customWidth="1" width="9.140625"/>
    <col min="4292" max="4292" customWidth="1" width="9.140625"/>
    <col min="4293" max="4293" customWidth="1" width="9.140625"/>
    <col min="4294" max="4294" customWidth="1" width="9.140625"/>
    <col min="4295" max="4295" customWidth="1" width="9.140625"/>
    <col min="4296" max="4296" customWidth="1" width="9.140625"/>
    <col min="4297" max="4297" customWidth="1" width="9.140625"/>
    <col min="4298" max="4298" customWidth="1" width="9.140625"/>
    <col min="4299" max="4299" customWidth="1" width="9.140625"/>
    <col min="4300" max="4300" customWidth="1" width="9.140625"/>
    <col min="4301" max="4301" customWidth="1" width="9.140625"/>
    <col min="4302" max="4302" customWidth="1" width="9.140625"/>
    <col min="4303" max="4303" customWidth="1" width="9.140625"/>
    <col min="4304" max="4304" customWidth="1" width="9.140625"/>
    <col min="4305" max="4305" customWidth="1" width="9.140625"/>
    <col min="4306" max="4306" customWidth="1" width="9.140625"/>
    <col min="4307" max="4307" customWidth="1" width="9.140625"/>
    <col min="4308" max="4308" customWidth="1" width="9.140625"/>
    <col min="4309" max="4309" customWidth="1" width="9.140625"/>
    <col min="4310" max="4310" customWidth="1" width="9.140625"/>
    <col min="4311" max="4311" customWidth="1" width="9.140625"/>
    <col min="4312" max="4312" customWidth="1" width="9.140625"/>
    <col min="4313" max="4313" customWidth="1" width="9.140625"/>
    <col min="4314" max="4314" customWidth="1" width="9.140625"/>
    <col min="4315" max="4315" customWidth="1" width="9.140625"/>
    <col min="4316" max="4316" customWidth="1" width="9.140625"/>
    <col min="4317" max="4317" customWidth="1" width="9.140625"/>
    <col min="4318" max="4318" customWidth="1" width="9.140625"/>
    <col min="4319" max="4319" customWidth="1" width="9.140625"/>
    <col min="4320" max="4320" customWidth="1" width="9.140625"/>
    <col min="4321" max="4321" customWidth="1" width="9.140625"/>
    <col min="4322" max="4322" customWidth="1" width="9.140625"/>
    <col min="4323" max="4323" customWidth="1" width="9.140625"/>
    <col min="4324" max="4324" customWidth="1" width="9.140625"/>
    <col min="4325" max="4325" customWidth="1" width="9.140625"/>
    <col min="4326" max="4326" customWidth="1" width="9.140625"/>
    <col min="4327" max="4327" customWidth="1" width="9.140625"/>
    <col min="4328" max="4328" customWidth="1" width="9.140625"/>
    <col min="4329" max="4329" customWidth="1" width="9.140625"/>
    <col min="4330" max="4330" customWidth="1" width="9.140625"/>
    <col min="4331" max="4331" customWidth="1" width="9.140625"/>
    <col min="4332" max="4332" customWidth="1" width="9.140625"/>
    <col min="4333" max="4333" customWidth="1" width="9.140625"/>
    <col min="4334" max="4334" customWidth="1" width="9.140625"/>
    <col min="4335" max="4335" customWidth="1" width="9.140625"/>
    <col min="4336" max="4336" customWidth="1" width="9.140625"/>
    <col min="4337" max="4337" customWidth="1" width="9.140625"/>
    <col min="4338" max="4338" customWidth="1" width="9.140625"/>
    <col min="4339" max="4339" customWidth="1" width="9.140625"/>
    <col min="4340" max="4340" customWidth="1" width="9.140625"/>
    <col min="4341" max="4341" customWidth="1" width="9.140625"/>
    <col min="4342" max="4342" customWidth="1" width="9.140625"/>
    <col min="4343" max="4343" customWidth="1" width="9.140625"/>
    <col min="4344" max="4344" customWidth="1" width="9.140625"/>
    <col min="4345" max="4345" customWidth="1" width="9.140625"/>
    <col min="4346" max="4346" customWidth="1" width="9.140625"/>
    <col min="4347" max="4347" customWidth="1" width="9.140625"/>
    <col min="4348" max="4348" customWidth="1" width="9.140625"/>
    <col min="4349" max="4349" customWidth="1" width="9.140625"/>
    <col min="4350" max="4350" customWidth="1" width="9.140625"/>
    <col min="4351" max="4351" customWidth="1" width="9.140625"/>
    <col min="4352" max="4352" customWidth="1" width="9.140625"/>
    <col min="4353" max="4353" customWidth="1" width="9.140625"/>
    <col min="4354" max="4354" customWidth="1" width="9.140625"/>
    <col min="4355" max="4355" customWidth="1" width="9.140625"/>
    <col min="4356" max="4356" customWidth="1" width="9.140625"/>
    <col min="4357" max="4357" customWidth="1" width="9.140625"/>
    <col min="4358" max="4358" customWidth="1" width="9.140625"/>
    <col min="4359" max="4359" customWidth="1" width="9.140625"/>
    <col min="4360" max="4360" customWidth="1" width="9.140625"/>
    <col min="4361" max="4361" customWidth="1" width="9.140625"/>
    <col min="4362" max="4362" customWidth="1" width="9.140625"/>
    <col min="4363" max="4363" customWidth="1" width="9.140625"/>
    <col min="4364" max="4364" customWidth="1" width="9.140625"/>
    <col min="4365" max="4365" customWidth="1" width="9.140625"/>
    <col min="4366" max="4366" customWidth="1" width="9.140625"/>
    <col min="4367" max="4367" customWidth="1" width="9.140625"/>
    <col min="4368" max="4368" customWidth="1" width="9.140625"/>
    <col min="4369" max="4369" customWidth="1" width="9.140625"/>
    <col min="4370" max="4370" customWidth="1" width="9.140625"/>
    <col min="4371" max="4371" customWidth="1" width="9.140625"/>
    <col min="4372" max="4372" customWidth="1" width="9.140625"/>
    <col min="4373" max="4373" customWidth="1" width="9.140625"/>
    <col min="4374" max="4374" customWidth="1" width="9.140625"/>
    <col min="4375" max="4375" customWidth="1" width="9.140625"/>
    <col min="4376" max="4376" customWidth="1" width="9.140625"/>
    <col min="4377" max="4377" customWidth="1" width="9.140625"/>
    <col min="4378" max="4378" customWidth="1" width="9.140625"/>
    <col min="4379" max="4379" customWidth="1" width="9.140625"/>
    <col min="4380" max="4380" customWidth="1" width="9.140625"/>
    <col min="4381" max="4381" customWidth="1" width="9.140625"/>
    <col min="4382" max="4382" customWidth="1" width="9.140625"/>
    <col min="4383" max="4383" customWidth="1" width="9.140625"/>
    <col min="4384" max="4384" customWidth="1" width="9.140625"/>
    <col min="4385" max="4385" customWidth="1" width="9.140625"/>
    <col min="4386" max="4386" customWidth="1" width="9.140625"/>
    <col min="4387" max="4387" customWidth="1" width="9.140625"/>
    <col min="4388" max="4388" customWidth="1" width="9.140625"/>
    <col min="4389" max="4389" customWidth="1" width="9.140625"/>
    <col min="4390" max="4390" customWidth="1" width="9.140625"/>
    <col min="4391" max="4391" customWidth="1" width="9.140625"/>
    <col min="4392" max="4392" customWidth="1" width="9.140625"/>
    <col min="4393" max="4393" customWidth="1" width="9.140625"/>
    <col min="4394" max="4394" customWidth="1" width="9.140625"/>
    <col min="4395" max="4395" customWidth="1" width="9.140625"/>
    <col min="4396" max="4396" customWidth="1" width="9.140625"/>
    <col min="4397" max="4397" customWidth="1" width="9.140625"/>
    <col min="4398" max="4398" customWidth="1" width="9.140625"/>
    <col min="4399" max="4399" customWidth="1" width="9.140625"/>
    <col min="4400" max="4400" customWidth="1" width="9.140625"/>
    <col min="4401" max="4401" customWidth="1" width="9.140625"/>
    <col min="4402" max="4402" customWidth="1" width="9.140625"/>
    <col min="4403" max="4403" customWidth="1" width="9.140625"/>
    <col min="4404" max="4404" customWidth="1" width="9.140625"/>
    <col min="4405" max="4405" customWidth="1" width="9.140625"/>
    <col min="4406" max="4406" customWidth="1" width="9.140625"/>
    <col min="4407" max="4407" customWidth="1" width="9.140625"/>
    <col min="4408" max="4408" customWidth="1" width="9.140625"/>
    <col min="4409" max="4409" customWidth="1" width="9.140625"/>
    <col min="4410" max="4410" customWidth="1" width="9.140625"/>
    <col min="4411" max="4411" customWidth="1" width="9.140625"/>
    <col min="4412" max="4412" customWidth="1" width="9.140625"/>
    <col min="4413" max="4413" customWidth="1" width="9.140625"/>
    <col min="4414" max="4414" customWidth="1" width="9.140625"/>
    <col min="4415" max="4415" customWidth="1" width="9.140625"/>
    <col min="4416" max="4416" customWidth="1" width="9.140625"/>
    <col min="4417" max="4417" customWidth="1" width="9.140625"/>
    <col min="4418" max="4418" customWidth="1" width="9.140625"/>
    <col min="4419" max="4419" customWidth="1" width="9.140625"/>
    <col min="4420" max="4420" customWidth="1" width="9.140625"/>
    <col min="4421" max="4421" customWidth="1" width="9.140625"/>
    <col min="4422" max="4422" customWidth="1" width="9.140625"/>
    <col min="4423" max="4423" customWidth="1" width="9.140625"/>
    <col min="4424" max="4424" customWidth="1" width="9.140625"/>
    <col min="4425" max="4425" customWidth="1" width="9.140625"/>
    <col min="4426" max="4426" customWidth="1" width="9.140625"/>
    <col min="4427" max="4427" customWidth="1" width="9.140625"/>
    <col min="4428" max="4428" customWidth="1" width="9.140625"/>
    <col min="4429" max="4429" customWidth="1" width="9.140625"/>
    <col min="4430" max="4430" customWidth="1" width="9.140625"/>
    <col min="4431" max="4431" customWidth="1" width="9.140625"/>
    <col min="4432" max="4432" customWidth="1" width="9.140625"/>
    <col min="4433" max="4433" customWidth="1" width="9.140625"/>
    <col min="4434" max="4434" customWidth="1" width="9.140625"/>
    <col min="4435" max="4435" customWidth="1" width="9.140625"/>
    <col min="4436" max="4436" customWidth="1" width="9.140625"/>
    <col min="4437" max="4437" customWidth="1" width="9.140625"/>
    <col min="4438" max="4438" customWidth="1" width="9.140625"/>
    <col min="4439" max="4439" customWidth="1" width="9.140625"/>
    <col min="4440" max="4440" customWidth="1" width="9.140625"/>
    <col min="4441" max="4441" customWidth="1" width="9.140625"/>
    <col min="4442" max="4442" customWidth="1" width="9.140625"/>
    <col min="4443" max="4443" customWidth="1" width="9.140625"/>
    <col min="4444" max="4444" customWidth="1" width="9.140625"/>
    <col min="4445" max="4445" customWidth="1" width="9.140625"/>
    <col min="4446" max="4446" customWidth="1" width="9.140625"/>
    <col min="4447" max="4447" customWidth="1" width="9.140625"/>
    <col min="4448" max="4448" customWidth="1" width="9.140625"/>
    <col min="4449" max="4449" customWidth="1" width="9.140625"/>
    <col min="4450" max="4450" customWidth="1" width="9.140625"/>
    <col min="4451" max="4451" customWidth="1" width="9.140625"/>
    <col min="4452" max="4452" customWidth="1" width="9.140625"/>
    <col min="4453" max="4453" customWidth="1" width="9.140625"/>
    <col min="4454" max="4454" customWidth="1" width="9.140625"/>
    <col min="4455" max="4455" customWidth="1" width="9.140625"/>
    <col min="4456" max="4456" customWidth="1" width="9.140625"/>
    <col min="4457" max="4457" customWidth="1" width="9.140625"/>
    <col min="4458" max="4458" customWidth="1" width="9.140625"/>
    <col min="4459" max="4459" customWidth="1" width="9.140625"/>
    <col min="4460" max="4460" customWidth="1" width="9.140625"/>
    <col min="4461" max="4461" customWidth="1" width="9.140625"/>
    <col min="4462" max="4462" customWidth="1" width="9.140625"/>
    <col min="4463" max="4463" customWidth="1" width="9.140625"/>
    <col min="4464" max="4464" customWidth="1" width="9.140625"/>
    <col min="4465" max="4465" customWidth="1" width="9.140625"/>
    <col min="4466" max="4466" customWidth="1" width="9.140625"/>
    <col min="4467" max="4467" customWidth="1" width="9.140625"/>
    <col min="4468" max="4468" customWidth="1" width="9.140625"/>
    <col min="4469" max="4469" customWidth="1" width="9.140625"/>
    <col min="4470" max="4470" customWidth="1" width="9.140625"/>
    <col min="4471" max="4471" customWidth="1" width="9.140625"/>
    <col min="4472" max="4472" customWidth="1" width="9.140625"/>
    <col min="4473" max="4473" customWidth="1" width="9.140625"/>
    <col min="4474" max="4474" customWidth="1" width="9.140625"/>
    <col min="4475" max="4475" customWidth="1" width="9.140625"/>
    <col min="4476" max="4476" customWidth="1" width="9.140625"/>
    <col min="4477" max="4477" customWidth="1" width="9.140625"/>
    <col min="4478" max="4478" customWidth="1" width="9.140625"/>
    <col min="4479" max="4479" customWidth="1" width="9.140625"/>
    <col min="4480" max="4480" customWidth="1" width="9.140625"/>
    <col min="4481" max="4481" customWidth="1" width="9.140625"/>
    <col min="4482" max="4482" customWidth="1" width="9.140625"/>
    <col min="4483" max="4483" customWidth="1" width="9.140625"/>
    <col min="4484" max="4484" customWidth="1" width="9.140625"/>
    <col min="4485" max="4485" customWidth="1" width="9.140625"/>
    <col min="4486" max="4486" customWidth="1" width="9.140625"/>
    <col min="4487" max="4487" customWidth="1" width="9.140625"/>
    <col min="4488" max="4488" customWidth="1" width="9.140625"/>
    <col min="4489" max="4489" customWidth="1" width="9.140625"/>
    <col min="4490" max="4490" customWidth="1" width="9.140625"/>
    <col min="4491" max="4491" customWidth="1" width="9.140625"/>
    <col min="4492" max="4492" customWidth="1" width="9.140625"/>
    <col min="4493" max="4493" customWidth="1" width="9.140625"/>
    <col min="4494" max="4494" customWidth="1" width="9.140625"/>
    <col min="4495" max="4495" customWidth="1" width="9.140625"/>
    <col min="4496" max="4496" customWidth="1" width="9.140625"/>
    <col min="4497" max="4497" customWidth="1" width="9.140625"/>
    <col min="4498" max="4498" customWidth="1" width="9.140625"/>
    <col min="4499" max="4499" customWidth="1" width="9.140625"/>
    <col min="4500" max="4500" customWidth="1" width="9.140625"/>
    <col min="4501" max="4501" customWidth="1" width="9.140625"/>
    <col min="4502" max="4502" customWidth="1" width="9.140625"/>
    <col min="4503" max="4503" customWidth="1" width="9.140625"/>
    <col min="4504" max="4504" customWidth="1" width="9.140625"/>
    <col min="4505" max="4505" customWidth="1" width="9.140625"/>
    <col min="4506" max="4506" customWidth="1" width="9.140625"/>
    <col min="4507" max="4507" customWidth="1" width="9.140625"/>
    <col min="4508" max="4508" customWidth="1" width="9.140625"/>
    <col min="4509" max="4509" customWidth="1" width="9.140625"/>
    <col min="4510" max="4510" customWidth="1" width="9.140625"/>
    <col min="4511" max="4511" customWidth="1" width="9.140625"/>
    <col min="4512" max="4512" customWidth="1" width="9.140625"/>
    <col min="4513" max="4513" customWidth="1" width="9.140625"/>
    <col min="4514" max="4514" customWidth="1" width="9.140625"/>
    <col min="4515" max="4515" customWidth="1" width="9.140625"/>
    <col min="4516" max="4516" customWidth="1" width="9.140625"/>
    <col min="4517" max="4517" customWidth="1" width="9.140625"/>
    <col min="4518" max="4518" customWidth="1" width="9.140625"/>
    <col min="4519" max="4519" customWidth="1" width="9.140625"/>
    <col min="4520" max="4520" customWidth="1" width="9.140625"/>
    <col min="4521" max="4521" customWidth="1" width="9.140625"/>
    <col min="4522" max="4522" customWidth="1" width="9.140625"/>
    <col min="4523" max="4523" customWidth="1" width="9.140625"/>
    <col min="4524" max="4524" customWidth="1" width="9.140625"/>
    <col min="4525" max="4525" customWidth="1" width="9.140625"/>
    <col min="4526" max="4526" customWidth="1" width="9.140625"/>
    <col min="4527" max="4527" customWidth="1" width="9.140625"/>
    <col min="4528" max="4528" customWidth="1" width="9.140625"/>
    <col min="4529" max="4529" customWidth="1" width="9.140625"/>
    <col min="4530" max="4530" customWidth="1" width="9.140625"/>
    <col min="4531" max="4531" customWidth="1" width="9.140625"/>
    <col min="4532" max="4532" customWidth="1" width="9.140625"/>
    <col min="4533" max="4533" customWidth="1" width="9.140625"/>
    <col min="4534" max="4534" customWidth="1" width="9.140625"/>
    <col min="4535" max="4535" customWidth="1" width="9.140625"/>
    <col min="4536" max="4536" customWidth="1" width="9.140625"/>
    <col min="4537" max="4537" customWidth="1" width="9.140625"/>
    <col min="4538" max="4538" customWidth="1" width="9.140625"/>
    <col min="4539" max="4539" customWidth="1" width="9.140625"/>
    <col min="4540" max="4540" customWidth="1" width="9.140625"/>
    <col min="4541" max="4541" customWidth="1" width="9.140625"/>
    <col min="4542" max="4542" customWidth="1" width="9.140625"/>
    <col min="4543" max="4543" customWidth="1" width="9.140625"/>
    <col min="4544" max="4544" customWidth="1" width="9.140625"/>
    <col min="4545" max="4545" customWidth="1" width="9.140625"/>
    <col min="4546" max="4546" customWidth="1" width="9.140625"/>
    <col min="4547" max="4547" customWidth="1" width="9.140625"/>
    <col min="4548" max="4548" customWidth="1" width="9.140625"/>
    <col min="4549" max="4549" customWidth="1" width="9.140625"/>
    <col min="4550" max="4550" customWidth="1" width="9.140625"/>
    <col min="4551" max="4551" customWidth="1" width="9.140625"/>
    <col min="4552" max="4552" customWidth="1" width="9.140625"/>
    <col min="4553" max="4553" customWidth="1" width="9.140625"/>
    <col min="4554" max="4554" customWidth="1" width="9.140625"/>
    <col min="4555" max="4555" customWidth="1" width="9.140625"/>
    <col min="4556" max="4556" customWidth="1" width="9.140625"/>
    <col min="4557" max="4557" customWidth="1" width="9.140625"/>
    <col min="4558" max="4558" customWidth="1" width="9.140625"/>
    <col min="4559" max="4559" customWidth="1" width="9.140625"/>
    <col min="4560" max="4560" customWidth="1" width="9.140625"/>
    <col min="4561" max="4561" customWidth="1" width="9.140625"/>
    <col min="4562" max="4562" customWidth="1" width="9.140625"/>
    <col min="4563" max="4563" customWidth="1" width="9.140625"/>
    <col min="4564" max="4564" customWidth="1" width="9.140625"/>
    <col min="4565" max="4565" customWidth="1" width="9.140625"/>
    <col min="4566" max="4566" customWidth="1" width="9.140625"/>
    <col min="4567" max="4567" customWidth="1" width="9.140625"/>
    <col min="4568" max="4568" customWidth="1" width="9.140625"/>
    <col min="4569" max="4569" customWidth="1" width="9.140625"/>
    <col min="4570" max="4570" customWidth="1" width="9.140625"/>
    <col min="4571" max="4571" customWidth="1" width="9.140625"/>
    <col min="4572" max="4572" customWidth="1" width="9.140625"/>
    <col min="4573" max="4573" customWidth="1" width="9.140625"/>
    <col min="4574" max="4574" customWidth="1" width="9.140625"/>
    <col min="4575" max="4575" customWidth="1" width="9.140625"/>
    <col min="4576" max="4576" customWidth="1" width="9.140625"/>
    <col min="4577" max="4577" customWidth="1" width="9.140625"/>
    <col min="4578" max="4578" customWidth="1" width="9.140625"/>
    <col min="4579" max="4579" customWidth="1" width="9.140625"/>
    <col min="4580" max="4580" customWidth="1" width="9.140625"/>
    <col min="4581" max="4581" customWidth="1" width="9.140625"/>
    <col min="4582" max="4582" customWidth="1" width="9.140625"/>
    <col min="4583" max="4583" customWidth="1" width="9.140625"/>
    <col min="4584" max="4584" customWidth="1" width="9.140625"/>
    <col min="4585" max="4585" customWidth="1" width="9.140625"/>
    <col min="4586" max="4586" customWidth="1" width="9.140625"/>
    <col min="4587" max="4587" customWidth="1" width="9.140625"/>
    <col min="4588" max="4588" customWidth="1" width="9.140625"/>
    <col min="4589" max="4589" customWidth="1" width="9.140625"/>
    <col min="4590" max="4590" customWidth="1" width="9.140625"/>
    <col min="4591" max="4591" customWidth="1" width="9.140625"/>
    <col min="4592" max="4592" customWidth="1" width="9.140625"/>
    <col min="4593" max="4593" customWidth="1" width="9.140625"/>
    <col min="4594" max="4594" customWidth="1" width="9.140625"/>
    <col min="4595" max="4595" customWidth="1" width="9.140625"/>
    <col min="4596" max="4596" customWidth="1" width="9.140625"/>
    <col min="4597" max="4597" customWidth="1" width="9.140625"/>
    <col min="4598" max="4598" customWidth="1" width="9.140625"/>
    <col min="4599" max="4599" customWidth="1" width="9.140625"/>
    <col min="4600" max="4600" customWidth="1" width="9.140625"/>
    <col min="4601" max="4601" customWidth="1" width="9.140625"/>
    <col min="4602" max="4602" customWidth="1" width="9.140625"/>
    <col min="4603" max="4603" customWidth="1" width="9.140625"/>
    <col min="4604" max="4604" customWidth="1" width="9.140625"/>
    <col min="4605" max="4605" customWidth="1" width="9.140625"/>
    <col min="4606" max="4606" customWidth="1" width="9.140625"/>
    <col min="4607" max="4607" customWidth="1" width="9.140625"/>
    <col min="4608" max="4608" customWidth="1" width="9.140625"/>
    <col min="4609" max="4609" customWidth="1" width="9.140625"/>
    <col min="4610" max="4610" customWidth="1" width="9.140625"/>
    <col min="4611" max="4611" customWidth="1" width="9.140625"/>
    <col min="4612" max="4612" customWidth="1" width="9.140625"/>
    <col min="4613" max="4613" customWidth="1" width="9.140625"/>
    <col min="4614" max="4614" customWidth="1" width="9.140625"/>
    <col min="4615" max="4615" customWidth="1" width="9.140625"/>
    <col min="4616" max="4616" customWidth="1" width="9.140625"/>
    <col min="4617" max="4617" customWidth="1" width="9.140625"/>
    <col min="4618" max="4618" customWidth="1" width="9.140625"/>
    <col min="4619" max="4619" customWidth="1" width="9.140625"/>
    <col min="4620" max="4620" customWidth="1" width="9.140625"/>
    <col min="4621" max="4621" customWidth="1" width="9.140625"/>
    <col min="4622" max="4622" customWidth="1" width="9.140625"/>
    <col min="4623" max="4623" customWidth="1" width="9.140625"/>
    <col min="4624" max="4624" customWidth="1" width="9.140625"/>
    <col min="4625" max="4625" customWidth="1" width="9.140625"/>
    <col min="4626" max="4626" customWidth="1" width="9.140625"/>
    <col min="4627" max="4627" customWidth="1" width="9.140625"/>
    <col min="4628" max="4628" customWidth="1" width="9.140625"/>
    <col min="4629" max="4629" customWidth="1" width="9.140625"/>
    <col min="4630" max="4630" customWidth="1" width="9.140625"/>
    <col min="4631" max="4631" customWidth="1" width="9.140625"/>
    <col min="4632" max="4632" customWidth="1" width="9.140625"/>
    <col min="4633" max="4633" customWidth="1" width="9.140625"/>
    <col min="4634" max="4634" customWidth="1" width="9.140625"/>
    <col min="4635" max="4635" customWidth="1" width="9.140625"/>
    <col min="4636" max="4636" customWidth="1" width="9.140625"/>
    <col min="4637" max="4637" customWidth="1" width="9.140625"/>
    <col min="4638" max="4638" customWidth="1" width="9.140625"/>
    <col min="4639" max="4639" customWidth="1" width="9.140625"/>
    <col min="4640" max="4640" customWidth="1" width="9.140625"/>
    <col min="4641" max="4641" customWidth="1" width="9.140625"/>
    <col min="4642" max="4642" customWidth="1" width="9.140625"/>
    <col min="4643" max="4643" customWidth="1" width="9.140625"/>
    <col min="4644" max="4644" customWidth="1" width="9.140625"/>
    <col min="4645" max="4645" customWidth="1" width="9.140625"/>
    <col min="4646" max="4646" customWidth="1" width="9.140625"/>
    <col min="4647" max="4647" customWidth="1" width="9.140625"/>
    <col min="4648" max="4648" customWidth="1" width="9.140625"/>
    <col min="4649" max="4649" customWidth="1" width="9.140625"/>
    <col min="4650" max="4650" customWidth="1" width="9.140625"/>
    <col min="4651" max="4651" customWidth="1" width="9.140625"/>
    <col min="4652" max="4652" customWidth="1" width="9.140625"/>
    <col min="4653" max="4653" customWidth="1" width="9.140625"/>
    <col min="4654" max="4654" customWidth="1" width="9.140625"/>
    <col min="4655" max="4655" customWidth="1" width="9.140625"/>
    <col min="4656" max="4656" customWidth="1" width="9.140625"/>
    <col min="4657" max="4657" customWidth="1" width="9.140625"/>
    <col min="4658" max="4658" customWidth="1" width="9.140625"/>
    <col min="4659" max="4659" customWidth="1" width="9.140625"/>
    <col min="4660" max="4660" customWidth="1" width="9.140625"/>
    <col min="4661" max="4661" customWidth="1" width="9.140625"/>
    <col min="4662" max="4662" customWidth="1" width="9.140625"/>
    <col min="4663" max="4663" customWidth="1" width="9.140625"/>
    <col min="4664" max="4664" customWidth="1" width="9.140625"/>
    <col min="4665" max="4665" customWidth="1" width="9.140625"/>
    <col min="4666" max="4666" customWidth="1" width="9.140625"/>
    <col min="4667" max="4667" customWidth="1" width="9.140625"/>
    <col min="4668" max="4668" customWidth="1" width="9.140625"/>
    <col min="4669" max="4669" customWidth="1" width="9.140625"/>
    <col min="4670" max="4670" customWidth="1" width="9.140625"/>
    <col min="4671" max="4671" customWidth="1" width="9.140625"/>
    <col min="4672" max="4672" customWidth="1" width="9.140625"/>
    <col min="4673" max="4673" customWidth="1" width="9.140625"/>
    <col min="4674" max="4674" customWidth="1" width="9.140625"/>
    <col min="4675" max="4675" customWidth="1" width="9.140625"/>
    <col min="4676" max="4676" customWidth="1" width="9.140625"/>
    <col min="4677" max="4677" customWidth="1" width="9.140625"/>
    <col min="4678" max="4678" customWidth="1" width="9.140625"/>
    <col min="4679" max="4679" customWidth="1" width="9.140625"/>
    <col min="4680" max="4680" customWidth="1" width="9.140625"/>
    <col min="4681" max="4681" customWidth="1" width="9.140625"/>
    <col min="4682" max="4682" customWidth="1" width="9.140625"/>
    <col min="4683" max="4683" customWidth="1" width="9.140625"/>
    <col min="4684" max="4684" customWidth="1" width="9.140625"/>
    <col min="4685" max="4685" customWidth="1" width="9.140625"/>
    <col min="4686" max="4686" customWidth="1" width="9.140625"/>
    <col min="4687" max="4687" customWidth="1" width="9.140625"/>
    <col min="4688" max="4688" customWidth="1" width="9.140625"/>
    <col min="4689" max="4689" customWidth="1" width="9.140625"/>
    <col min="4690" max="4690" customWidth="1" width="9.140625"/>
    <col min="4691" max="4691" customWidth="1" width="9.140625"/>
    <col min="4692" max="4692" customWidth="1" width="9.140625"/>
    <col min="4693" max="4693" customWidth="1" width="9.140625"/>
    <col min="4694" max="4694" customWidth="1" width="9.140625"/>
    <col min="4695" max="4695" customWidth="1" width="9.140625"/>
    <col min="4696" max="4696" customWidth="1" width="9.140625"/>
    <col min="4697" max="4697" customWidth="1" width="9.140625"/>
    <col min="4698" max="4698" customWidth="1" width="9.140625"/>
    <col min="4699" max="4699" customWidth="1" width="9.140625"/>
    <col min="4700" max="4700" customWidth="1" width="9.140625"/>
    <col min="4701" max="4701" customWidth="1" width="9.140625"/>
    <col min="4702" max="4702" customWidth="1" width="9.140625"/>
    <col min="4703" max="4703" customWidth="1" width="9.140625"/>
    <col min="4704" max="4704" customWidth="1" width="9.140625"/>
    <col min="4705" max="4705" customWidth="1" width="9.140625"/>
    <col min="4706" max="4706" customWidth="1" width="9.140625"/>
    <col min="4707" max="4707" customWidth="1" width="9.140625"/>
    <col min="4708" max="4708" customWidth="1" width="9.140625"/>
    <col min="4709" max="4709" customWidth="1" width="9.140625"/>
    <col min="4710" max="4710" customWidth="1" width="9.140625"/>
    <col min="4711" max="4711" customWidth="1" width="9.140625"/>
    <col min="4712" max="4712" customWidth="1" width="9.140625"/>
    <col min="4713" max="4713" customWidth="1" width="9.140625"/>
    <col min="4714" max="4714" customWidth="1" width="9.140625"/>
    <col min="4715" max="4715" customWidth="1" width="9.140625"/>
    <col min="4716" max="4716" customWidth="1" width="9.140625"/>
    <col min="4717" max="4717" customWidth="1" width="9.140625"/>
    <col min="4718" max="4718" customWidth="1" width="9.140625"/>
    <col min="4719" max="4719" customWidth="1" width="9.140625"/>
    <col min="4720" max="4720" customWidth="1" width="9.140625"/>
    <col min="4721" max="4721" customWidth="1" width="9.140625"/>
    <col min="4722" max="4722" customWidth="1" width="9.140625"/>
    <col min="4723" max="4723" customWidth="1" width="9.140625"/>
    <col min="4724" max="4724" customWidth="1" width="9.140625"/>
    <col min="4725" max="4725" customWidth="1" width="9.140625"/>
    <col min="4726" max="4726" customWidth="1" width="9.140625"/>
    <col min="4727" max="4727" customWidth="1" width="9.140625"/>
    <col min="4728" max="4728" customWidth="1" width="9.140625"/>
    <col min="4729" max="4729" customWidth="1" width="9.140625"/>
    <col min="4730" max="4730" customWidth="1" width="9.140625"/>
    <col min="4731" max="4731" customWidth="1" width="9.140625"/>
    <col min="4732" max="4732" customWidth="1" width="9.140625"/>
    <col min="4733" max="4733" customWidth="1" width="9.140625"/>
    <col min="4734" max="4734" customWidth="1" width="9.140625"/>
    <col min="4735" max="4735" customWidth="1" width="9.140625"/>
    <col min="4736" max="4736" customWidth="1" width="9.140625"/>
    <col min="4737" max="4737" customWidth="1" width="9.140625"/>
    <col min="4738" max="4738" customWidth="1" width="9.140625"/>
    <col min="4739" max="4739" customWidth="1" width="9.140625"/>
    <col min="4740" max="4740" customWidth="1" width="9.140625"/>
    <col min="4741" max="4741" customWidth="1" width="9.140625"/>
    <col min="4742" max="4742" customWidth="1" width="9.140625"/>
    <col min="4743" max="4743" customWidth="1" width="9.140625"/>
    <col min="4744" max="4744" customWidth="1" width="9.140625"/>
    <col min="4745" max="4745" customWidth="1" width="9.140625"/>
    <col min="4746" max="4746" customWidth="1" width="9.140625"/>
    <col min="4747" max="4747" customWidth="1" width="9.140625"/>
    <col min="4748" max="4748" customWidth="1" width="9.140625"/>
    <col min="4749" max="4749" customWidth="1" width="9.140625"/>
    <col min="4750" max="4750" customWidth="1" width="9.140625"/>
    <col min="4751" max="4751" customWidth="1" width="9.140625"/>
    <col min="4752" max="4752" customWidth="1" width="9.140625"/>
    <col min="4753" max="4753" customWidth="1" width="9.140625"/>
    <col min="4754" max="4754" customWidth="1" width="9.140625"/>
    <col min="4755" max="4755" customWidth="1" width="9.140625"/>
    <col min="4756" max="4756" customWidth="1" width="9.140625"/>
    <col min="4757" max="4757" customWidth="1" width="9.140625"/>
    <col min="4758" max="4758" customWidth="1" width="9.140625"/>
    <col min="4759" max="4759" customWidth="1" width="9.140625"/>
    <col min="4760" max="4760" customWidth="1" width="9.140625"/>
    <col min="4761" max="4761" customWidth="1" width="9.140625"/>
    <col min="4762" max="4762" customWidth="1" width="9.140625"/>
    <col min="4763" max="4763" customWidth="1" width="9.140625"/>
    <col min="4764" max="4764" customWidth="1" width="9.140625"/>
    <col min="4765" max="4765" customWidth="1" width="9.140625"/>
    <col min="4766" max="4766" customWidth="1" width="9.140625"/>
    <col min="4767" max="4767" customWidth="1" width="9.140625"/>
    <col min="4768" max="4768" customWidth="1" width="9.140625"/>
    <col min="4769" max="4769" customWidth="1" width="9.140625"/>
    <col min="4770" max="4770" customWidth="1" width="9.140625"/>
    <col min="4771" max="4771" customWidth="1" width="9.140625"/>
    <col min="4772" max="4772" customWidth="1" width="9.140625"/>
    <col min="4773" max="4773" customWidth="1" width="9.140625"/>
    <col min="4774" max="4774" customWidth="1" width="9.140625"/>
    <col min="4775" max="4775" customWidth="1" width="9.140625"/>
    <col min="4776" max="4776" customWidth="1" width="9.140625"/>
    <col min="4777" max="4777" customWidth="1" width="9.140625"/>
    <col min="4778" max="4778" customWidth="1" width="9.140625"/>
    <col min="4779" max="4779" customWidth="1" width="9.140625"/>
    <col min="4780" max="4780" customWidth="1" width="9.140625"/>
    <col min="4781" max="4781" customWidth="1" width="9.140625"/>
    <col min="4782" max="4782" customWidth="1" width="9.140625"/>
    <col min="4783" max="4783" customWidth="1" width="9.140625"/>
    <col min="4784" max="4784" customWidth="1" width="9.140625"/>
    <col min="4785" max="4785" customWidth="1" width="9.140625"/>
    <col min="4786" max="4786" customWidth="1" width="9.140625"/>
    <col min="4787" max="4787" customWidth="1" width="9.140625"/>
    <col min="4788" max="4788" customWidth="1" width="9.140625"/>
    <col min="4789" max="4789" customWidth="1" width="9.140625"/>
    <col min="4790" max="4790" customWidth="1" width="9.140625"/>
    <col min="4791" max="4791" customWidth="1" width="9.140625"/>
    <col min="4792" max="4792" customWidth="1" width="9.140625"/>
    <col min="4793" max="4793" customWidth="1" width="9.140625"/>
    <col min="4794" max="4794" customWidth="1" width="9.140625"/>
    <col min="4795" max="4795" customWidth="1" width="9.140625"/>
    <col min="4796" max="4796" customWidth="1" width="9.140625"/>
    <col min="4797" max="4797" customWidth="1" width="9.140625"/>
    <col min="4798" max="4798" customWidth="1" width="9.140625"/>
    <col min="4799" max="4799" customWidth="1" width="9.140625"/>
    <col min="4800" max="4800" customWidth="1" width="9.140625"/>
    <col min="4801" max="4801" customWidth="1" width="9.140625"/>
    <col min="4802" max="4802" customWidth="1" width="9.140625"/>
    <col min="4803" max="4803" customWidth="1" width="9.140625"/>
    <col min="4804" max="4804" customWidth="1" width="9.140625"/>
    <col min="4805" max="4805" customWidth="1" width="9.140625"/>
    <col min="4806" max="4806" customWidth="1" width="9.140625"/>
    <col min="4807" max="4807" customWidth="1" width="9.140625"/>
    <col min="4808" max="4808" customWidth="1" width="9.140625"/>
    <col min="4809" max="4809" customWidth="1" width="9.140625"/>
    <col min="4810" max="4810" customWidth="1" width="9.140625"/>
    <col min="4811" max="4811" customWidth="1" width="9.140625"/>
    <col min="4812" max="4812" customWidth="1" width="9.140625"/>
    <col min="4813" max="4813" customWidth="1" width="9.140625"/>
    <col min="4814" max="4814" customWidth="1" width="9.140625"/>
    <col min="4815" max="4815" customWidth="1" width="9.140625"/>
    <col min="4816" max="4816" customWidth="1" width="9.140625"/>
    <col min="4817" max="4817" customWidth="1" width="9.140625"/>
    <col min="4818" max="4818" customWidth="1" width="9.140625"/>
    <col min="4819" max="4819" customWidth="1" width="9.140625"/>
    <col min="4820" max="4820" customWidth="1" width="9.140625"/>
    <col min="4821" max="4821" customWidth="1" width="9.140625"/>
    <col min="4822" max="4822" customWidth="1" width="9.140625"/>
    <col min="4823" max="4823" customWidth="1" width="9.140625"/>
    <col min="4824" max="4824" customWidth="1" width="9.140625"/>
    <col min="4825" max="4825" customWidth="1" width="9.140625"/>
    <col min="4826" max="4826" customWidth="1" width="9.140625"/>
    <col min="4827" max="4827" customWidth="1" width="9.140625"/>
    <col min="4828" max="4828" customWidth="1" width="9.140625"/>
    <col min="4829" max="4829" customWidth="1" width="9.140625"/>
    <col min="4830" max="4830" customWidth="1" width="9.140625"/>
    <col min="4831" max="4831" customWidth="1" width="9.140625"/>
    <col min="4832" max="4832" customWidth="1" width="9.140625"/>
    <col min="4833" max="4833" customWidth="1" width="9.140625"/>
    <col min="4834" max="4834" customWidth="1" width="9.140625"/>
    <col min="4835" max="4835" customWidth="1" width="9.140625"/>
    <col min="4836" max="4836" customWidth="1" width="9.140625"/>
    <col min="4837" max="4837" customWidth="1" width="9.140625"/>
    <col min="4838" max="4838" customWidth="1" width="9.140625"/>
    <col min="4839" max="4839" customWidth="1" width="9.140625"/>
    <col min="4840" max="4840" customWidth="1" width="9.140625"/>
    <col min="4841" max="4841" customWidth="1" width="9.140625"/>
    <col min="4842" max="4842" customWidth="1" width="9.140625"/>
    <col min="4843" max="4843" customWidth="1" width="9.140625"/>
    <col min="4844" max="4844" customWidth="1" width="9.140625"/>
    <col min="4845" max="4845" customWidth="1" width="9.140625"/>
    <col min="4846" max="4846" customWidth="1" width="9.140625"/>
    <col min="4847" max="4847" customWidth="1" width="9.140625"/>
    <col min="4848" max="4848" customWidth="1" width="9.140625"/>
    <col min="4849" max="4849" customWidth="1" width="9.140625"/>
    <col min="4850" max="4850" customWidth="1" width="9.140625"/>
    <col min="4851" max="4851" customWidth="1" width="9.140625"/>
    <col min="4852" max="4852" customWidth="1" width="9.140625"/>
    <col min="4853" max="4853" customWidth="1" width="9.140625"/>
    <col min="4854" max="4854" customWidth="1" width="9.140625"/>
    <col min="4855" max="4855" customWidth="1" width="9.140625"/>
    <col min="4856" max="4856" customWidth="1" width="9.140625"/>
    <col min="4857" max="4857" customWidth="1" width="9.140625"/>
    <col min="4858" max="4858" customWidth="1" width="9.140625"/>
    <col min="4859" max="4859" customWidth="1" width="9.140625"/>
    <col min="4860" max="4860" customWidth="1" width="9.140625"/>
    <col min="4861" max="4861" customWidth="1" width="9.140625"/>
    <col min="4862" max="4862" customWidth="1" width="9.140625"/>
    <col min="4863" max="4863" customWidth="1" width="9.140625"/>
    <col min="4864" max="4864" customWidth="1" width="9.140625"/>
    <col min="4865" max="4865" customWidth="1" width="9.140625"/>
    <col min="4866" max="4866" customWidth="1" width="9.140625"/>
    <col min="4867" max="4867" customWidth="1" width="9.140625"/>
    <col min="4868" max="4868" customWidth="1" width="9.140625"/>
    <col min="4869" max="4869" customWidth="1" width="9.140625"/>
    <col min="4870" max="4870" customWidth="1" width="9.140625"/>
    <col min="4871" max="4871" customWidth="1" width="9.140625"/>
    <col min="4872" max="4872" customWidth="1" width="9.140625"/>
    <col min="4873" max="4873" customWidth="1" width="9.140625"/>
    <col min="4874" max="4874" customWidth="1" width="9.140625"/>
    <col min="4875" max="4875" customWidth="1" width="9.140625"/>
    <col min="4876" max="4876" customWidth="1" width="9.140625"/>
    <col min="4877" max="4877" customWidth="1" width="9.140625"/>
    <col min="4878" max="4878" customWidth="1" width="9.140625"/>
    <col min="4879" max="4879" customWidth="1" width="9.140625"/>
    <col min="4880" max="4880" customWidth="1" width="9.140625"/>
    <col min="4881" max="4881" customWidth="1" width="9.140625"/>
    <col min="4882" max="4882" customWidth="1" width="9.140625"/>
    <col min="4883" max="4883" customWidth="1" width="9.140625"/>
    <col min="4884" max="4884" customWidth="1" width="9.140625"/>
    <col min="4885" max="4885" customWidth="1" width="9.140625"/>
    <col min="4886" max="4886" customWidth="1" width="9.140625"/>
    <col min="4887" max="4887" customWidth="1" width="9.140625"/>
    <col min="4888" max="4888" customWidth="1" width="9.140625"/>
    <col min="4889" max="4889" customWidth="1" width="9.140625"/>
    <col min="4890" max="4890" customWidth="1" width="9.140625"/>
    <col min="4891" max="4891" customWidth="1" width="9.140625"/>
    <col min="4892" max="4892" customWidth="1" width="9.140625"/>
    <col min="4893" max="4893" customWidth="1" width="9.140625"/>
    <col min="4894" max="4894" customWidth="1" width="9.140625"/>
    <col min="4895" max="4895" customWidth="1" width="9.140625"/>
    <col min="4896" max="4896" customWidth="1" width="9.140625"/>
    <col min="4897" max="4897" customWidth="1" width="9.140625"/>
    <col min="4898" max="4898" customWidth="1" width="9.140625"/>
    <col min="4899" max="4899" customWidth="1" width="9.140625"/>
    <col min="4900" max="4900" customWidth="1" width="9.140625"/>
    <col min="4901" max="4901" customWidth="1" width="9.140625"/>
    <col min="4902" max="4902" customWidth="1" width="9.140625"/>
    <col min="4903" max="4903" customWidth="1" width="9.140625"/>
    <col min="4904" max="4904" customWidth="1" width="9.140625"/>
    <col min="4905" max="4905" customWidth="1" width="9.140625"/>
    <col min="4906" max="4906" customWidth="1" width="9.140625"/>
    <col min="4907" max="4907" customWidth="1" width="9.140625"/>
    <col min="4908" max="4908" customWidth="1" width="9.140625"/>
    <col min="4909" max="4909" customWidth="1" width="9.140625"/>
    <col min="4910" max="4910" customWidth="1" width="9.140625"/>
    <col min="4911" max="4911" customWidth="1" width="9.140625"/>
    <col min="4912" max="4912" customWidth="1" width="9.140625"/>
    <col min="4913" max="4913" customWidth="1" width="9.140625"/>
    <col min="4914" max="4914" customWidth="1" width="9.140625"/>
    <col min="4915" max="4915" customWidth="1" width="9.140625"/>
    <col min="4916" max="4916" customWidth="1" width="9.140625"/>
    <col min="4917" max="4917" customWidth="1" width="9.140625"/>
    <col min="4918" max="4918" customWidth="1" width="9.140625"/>
    <col min="4919" max="4919" customWidth="1" width="9.140625"/>
    <col min="4920" max="4920" customWidth="1" width="9.140625"/>
    <col min="4921" max="4921" customWidth="1" width="9.140625"/>
    <col min="4922" max="4922" customWidth="1" width="9.140625"/>
    <col min="4923" max="4923" customWidth="1" width="9.140625"/>
    <col min="4924" max="4924" customWidth="1" width="9.140625"/>
    <col min="4925" max="4925" customWidth="1" width="9.140625"/>
    <col min="4926" max="4926" customWidth="1" width="9.140625"/>
    <col min="4927" max="4927" customWidth="1" width="9.140625"/>
    <col min="4928" max="4928" customWidth="1" width="9.140625"/>
    <col min="4929" max="4929" customWidth="1" width="9.140625"/>
    <col min="4930" max="4930" customWidth="1" width="9.140625"/>
    <col min="4931" max="4931" customWidth="1" width="9.140625"/>
    <col min="4932" max="4932" customWidth="1" width="9.140625"/>
    <col min="4933" max="4933" customWidth="1" width="9.140625"/>
    <col min="4934" max="4934" customWidth="1" width="9.140625"/>
    <col min="4935" max="4935" customWidth="1" width="9.140625"/>
    <col min="4936" max="4936" customWidth="1" width="9.140625"/>
    <col min="4937" max="4937" customWidth="1" width="9.140625"/>
    <col min="4938" max="4938" customWidth="1" width="9.140625"/>
    <col min="4939" max="4939" customWidth="1" width="9.140625"/>
    <col min="4940" max="4940" customWidth="1" width="9.140625"/>
    <col min="4941" max="4941" customWidth="1" width="9.140625"/>
    <col min="4942" max="4942" customWidth="1" width="9.140625"/>
    <col min="4943" max="4943" customWidth="1" width="9.140625"/>
    <col min="4944" max="4944" customWidth="1" width="9.140625"/>
    <col min="4945" max="4945" customWidth="1" width="9.140625"/>
    <col min="4946" max="4946" customWidth="1" width="9.140625"/>
    <col min="4947" max="4947" customWidth="1" width="9.140625"/>
    <col min="4948" max="4948" customWidth="1" width="9.140625"/>
    <col min="4949" max="4949" customWidth="1" width="9.140625"/>
    <col min="4950" max="4950" customWidth="1" width="9.140625"/>
    <col min="4951" max="4951" customWidth="1" width="9.140625"/>
    <col min="4952" max="4952" customWidth="1" width="9.140625"/>
    <col min="4953" max="4953" customWidth="1" width="9.140625"/>
    <col min="4954" max="4954" customWidth="1" width="9.140625"/>
    <col min="4955" max="4955" customWidth="1" width="9.140625"/>
    <col min="4956" max="4956" customWidth="1" width="9.140625"/>
    <col min="4957" max="4957" customWidth="1" width="9.140625"/>
    <col min="4958" max="4958" customWidth="1" width="9.140625"/>
    <col min="4959" max="4959" customWidth="1" width="9.140625"/>
    <col min="4960" max="4960" customWidth="1" width="9.140625"/>
    <col min="4961" max="4961" customWidth="1" width="9.140625"/>
    <col min="4962" max="4962" customWidth="1" width="9.140625"/>
    <col min="4963" max="4963" customWidth="1" width="9.140625"/>
    <col min="4964" max="4964" customWidth="1" width="9.140625"/>
    <col min="4965" max="4965" customWidth="1" width="9.140625"/>
    <col min="4966" max="4966" customWidth="1" width="9.140625"/>
    <col min="4967" max="4967" customWidth="1" width="9.140625"/>
    <col min="4968" max="4968" customWidth="1" width="9.140625"/>
    <col min="4969" max="4969" customWidth="1" width="9.140625"/>
    <col min="4970" max="4970" customWidth="1" width="9.140625"/>
    <col min="4971" max="4971" customWidth="1" width="9.140625"/>
    <col min="4972" max="4972" customWidth="1" width="9.140625"/>
    <col min="4973" max="4973" customWidth="1" width="9.140625"/>
    <col min="4974" max="4974" customWidth="1" width="9.140625"/>
    <col min="4975" max="4975" customWidth="1" width="9.140625"/>
    <col min="4976" max="4976" customWidth="1" width="9.140625"/>
    <col min="4977" max="4977" customWidth="1" width="9.140625"/>
    <col min="4978" max="4978" customWidth="1" width="9.140625"/>
    <col min="4979" max="4979" customWidth="1" width="9.140625"/>
    <col min="4980" max="4980" customWidth="1" width="9.140625"/>
    <col min="4981" max="4981" customWidth="1" width="9.140625"/>
    <col min="4982" max="4982" customWidth="1" width="9.140625"/>
    <col min="4983" max="4983" customWidth="1" width="9.140625"/>
    <col min="4984" max="4984" customWidth="1" width="9.140625"/>
    <col min="4985" max="4985" customWidth="1" width="9.140625"/>
    <col min="4986" max="4986" customWidth="1" width="9.140625"/>
    <col min="4987" max="4987" customWidth="1" width="9.140625"/>
    <col min="4988" max="4988" customWidth="1" width="9.140625"/>
    <col min="4989" max="4989" customWidth="1" width="9.140625"/>
    <col min="4990" max="4990" customWidth="1" width="9.140625"/>
    <col min="4991" max="4991" customWidth="1" width="9.140625"/>
    <col min="4992" max="4992" customWidth="1" width="9.140625"/>
    <col min="4993" max="4993" customWidth="1" width="9.140625"/>
    <col min="4994" max="4994" customWidth="1" width="9.140625"/>
    <col min="4995" max="4995" customWidth="1" width="9.140625"/>
    <col min="4996" max="4996" customWidth="1" width="9.140625"/>
    <col min="4997" max="4997" customWidth="1" width="9.140625"/>
    <col min="4998" max="4998" customWidth="1" width="9.140625"/>
    <col min="4999" max="4999" customWidth="1" width="9.140625"/>
    <col min="5000" max="5000" customWidth="1" width="9.140625"/>
    <col min="5001" max="5001" customWidth="1" width="9.140625"/>
    <col min="5002" max="5002" customWidth="1" width="9.140625"/>
    <col min="5003" max="5003" customWidth="1" width="9.140625"/>
    <col min="5004" max="5004" customWidth="1" width="9.140625"/>
    <col min="5005" max="5005" customWidth="1" width="9.140625"/>
    <col min="5006" max="5006" customWidth="1" width="9.140625"/>
    <col min="5007" max="5007" customWidth="1" width="9.140625"/>
    <col min="5008" max="5008" customWidth="1" width="9.140625"/>
    <col min="5009" max="5009" customWidth="1" width="9.140625"/>
    <col min="5010" max="5010" customWidth="1" width="9.140625"/>
    <col min="5011" max="5011" customWidth="1" width="9.140625"/>
    <col min="5012" max="5012" customWidth="1" width="9.140625"/>
    <col min="5013" max="5013" customWidth="1" width="9.140625"/>
    <col min="5014" max="5014" customWidth="1" width="9.140625"/>
    <col min="5015" max="5015" customWidth="1" width="9.140625"/>
    <col min="5016" max="5016" customWidth="1" width="9.140625"/>
    <col min="5017" max="5017" customWidth="1" width="9.140625"/>
    <col min="5018" max="5018" customWidth="1" width="9.140625"/>
    <col min="5019" max="5019" customWidth="1" width="9.140625"/>
    <col min="5020" max="5020" customWidth="1" width="9.140625"/>
    <col min="5021" max="5021" customWidth="1" width="9.140625"/>
    <col min="5022" max="5022" customWidth="1" width="9.140625"/>
    <col min="5023" max="5023" customWidth="1" width="9.140625"/>
    <col min="5024" max="5024" customWidth="1" width="9.140625"/>
    <col min="5025" max="5025" customWidth="1" width="9.140625"/>
    <col min="5026" max="5026" customWidth="1" width="9.140625"/>
    <col min="5027" max="5027" customWidth="1" width="9.140625"/>
    <col min="5028" max="5028" customWidth="1" width="9.140625"/>
    <col min="5029" max="5029" customWidth="1" width="9.140625"/>
    <col min="5030" max="5030" customWidth="1" width="9.140625"/>
    <col min="5031" max="5031" customWidth="1" width="9.140625"/>
    <col min="5032" max="5032" customWidth="1" width="9.140625"/>
    <col min="5033" max="5033" customWidth="1" width="9.140625"/>
    <col min="5034" max="5034" customWidth="1" width="9.140625"/>
    <col min="5035" max="5035" customWidth="1" width="9.140625"/>
    <col min="5036" max="5036" customWidth="1" width="9.140625"/>
    <col min="5037" max="5037" customWidth="1" width="9.140625"/>
    <col min="5038" max="5038" customWidth="1" width="9.140625"/>
    <col min="5039" max="5039" customWidth="1" width="9.140625"/>
    <col min="5040" max="5040" customWidth="1" width="9.140625"/>
    <col min="5041" max="5041" customWidth="1" width="9.140625"/>
    <col min="5042" max="5042" customWidth="1" width="9.140625"/>
    <col min="5043" max="5043" customWidth="1" width="9.140625"/>
    <col min="5044" max="5044" customWidth="1" width="9.140625"/>
    <col min="5045" max="5045" customWidth="1" width="9.140625"/>
    <col min="5046" max="5046" customWidth="1" width="9.140625"/>
    <col min="5047" max="5047" customWidth="1" width="9.140625"/>
    <col min="5048" max="5048" customWidth="1" width="9.140625"/>
    <col min="5049" max="5049" customWidth="1" width="9.140625"/>
    <col min="5050" max="5050" customWidth="1" width="9.140625"/>
    <col min="5051" max="5051" customWidth="1" width="9.140625"/>
    <col min="5052" max="5052" customWidth="1" width="9.140625"/>
    <col min="5053" max="5053" customWidth="1" width="9.140625"/>
    <col min="5054" max="5054" customWidth="1" width="9.140625"/>
    <col min="5055" max="5055" customWidth="1" width="9.140625"/>
    <col min="5056" max="5056" customWidth="1" width="9.140625"/>
    <col min="5057" max="5057" customWidth="1" width="9.140625"/>
    <col min="5058" max="5058" customWidth="1" width="9.140625"/>
    <col min="5059" max="5059" customWidth="1" width="9.140625"/>
    <col min="5060" max="5060" customWidth="1" width="9.140625"/>
    <col min="5061" max="5061" customWidth="1" width="9.140625"/>
    <col min="5062" max="5062" customWidth="1" width="9.140625"/>
    <col min="5063" max="5063" customWidth="1" width="9.140625"/>
    <col min="5064" max="5064" customWidth="1" width="9.140625"/>
    <col min="5065" max="5065" customWidth="1" width="9.140625"/>
    <col min="5066" max="5066" customWidth="1" width="9.140625"/>
    <col min="5067" max="5067" customWidth="1" width="9.140625"/>
    <col min="5068" max="5068" customWidth="1" width="9.140625"/>
    <col min="5069" max="5069" customWidth="1" width="9.140625"/>
    <col min="5070" max="5070" customWidth="1" width="9.140625"/>
    <col min="5071" max="5071" customWidth="1" width="9.140625"/>
    <col min="5072" max="5072" customWidth="1" width="9.140625"/>
    <col min="5073" max="5073" customWidth="1" width="9.140625"/>
    <col min="5074" max="5074" customWidth="1" width="9.140625"/>
    <col min="5075" max="5075" customWidth="1" width="9.140625"/>
    <col min="5076" max="5076" customWidth="1" width="9.140625"/>
    <col min="5077" max="5077" customWidth="1" width="9.140625"/>
    <col min="5078" max="5078" customWidth="1" width="9.140625"/>
    <col min="5079" max="5079" customWidth="1" width="9.140625"/>
    <col min="5080" max="5080" customWidth="1" width="9.140625"/>
    <col min="5081" max="5081" customWidth="1" width="9.140625"/>
    <col min="5082" max="5082" customWidth="1" width="9.140625"/>
    <col min="5083" max="5083" customWidth="1" width="9.140625"/>
    <col min="5084" max="5084" customWidth="1" width="9.140625"/>
    <col min="5085" max="5085" customWidth="1" width="9.140625"/>
    <col min="5086" max="5086" customWidth="1" width="9.140625"/>
    <col min="5087" max="5087" customWidth="1" width="9.140625"/>
    <col min="5088" max="5088" customWidth="1" width="9.140625"/>
    <col min="5089" max="5089" customWidth="1" width="9.140625"/>
    <col min="5090" max="5090" customWidth="1" width="9.140625"/>
    <col min="5091" max="5091" customWidth="1" width="9.140625"/>
    <col min="5092" max="5092" customWidth="1" width="9.140625"/>
    <col min="5093" max="5093" customWidth="1" width="9.140625"/>
    <col min="5094" max="5094" customWidth="1" width="9.140625"/>
    <col min="5095" max="5095" customWidth="1" width="9.140625"/>
    <col min="5096" max="5096" customWidth="1" width="9.140625"/>
    <col min="5097" max="5097" customWidth="1" width="9.140625"/>
    <col min="5098" max="5098" customWidth="1" width="9.140625"/>
    <col min="5099" max="5099" customWidth="1" width="9.140625"/>
    <col min="5100" max="5100" customWidth="1" width="9.140625"/>
    <col min="5101" max="5101" customWidth="1" width="9.140625"/>
    <col min="5102" max="5102" customWidth="1" width="9.140625"/>
    <col min="5103" max="5103" customWidth="1" width="9.140625"/>
    <col min="5104" max="5104" customWidth="1" width="9.140625"/>
    <col min="5105" max="5105" customWidth="1" width="9.140625"/>
    <col min="5106" max="5106" customWidth="1" width="9.140625"/>
    <col min="5107" max="5107" customWidth="1" width="9.140625"/>
    <col min="5108" max="5108" customWidth="1" width="9.140625"/>
    <col min="5109" max="5109" customWidth="1" width="9.140625"/>
    <col min="5110" max="5110" customWidth="1" width="9.140625"/>
    <col min="5111" max="5111" customWidth="1" width="9.140625"/>
    <col min="5112" max="5112" customWidth="1" width="9.140625"/>
    <col min="5113" max="5113" customWidth="1" width="9.140625"/>
    <col min="5114" max="5114" customWidth="1" width="9.140625"/>
    <col min="5115" max="5115" customWidth="1" width="9.140625"/>
    <col min="5116" max="5116" customWidth="1" width="9.140625"/>
    <col min="5117" max="5117" customWidth="1" width="9.140625"/>
    <col min="5118" max="5118" customWidth="1" width="9.140625"/>
    <col min="5119" max="5119" customWidth="1" width="9.140625"/>
    <col min="5120" max="5120" customWidth="1" width="9.140625"/>
    <col min="5121" max="5121" customWidth="1" width="9.140625"/>
    <col min="5122" max="5122" customWidth="1" width="9.140625"/>
    <col min="5123" max="5123" customWidth="1" width="9.140625"/>
    <col min="5124" max="5124" customWidth="1" width="9.140625"/>
    <col min="5125" max="5125" customWidth="1" width="9.140625"/>
    <col min="5126" max="5126" customWidth="1" width="9.140625"/>
    <col min="5127" max="5127" customWidth="1" width="9.140625"/>
    <col min="5128" max="5128" customWidth="1" width="9.140625"/>
    <col min="5129" max="5129" customWidth="1" width="9.140625"/>
    <col min="5130" max="5130" customWidth="1" width="9.140625"/>
    <col min="5131" max="5131" customWidth="1" width="9.140625"/>
    <col min="5132" max="5132" customWidth="1" width="9.140625"/>
    <col min="5133" max="5133" customWidth="1" width="9.140625"/>
    <col min="5134" max="5134" customWidth="1" width="9.140625"/>
    <col min="5135" max="5135" customWidth="1" width="9.140625"/>
    <col min="5136" max="5136" customWidth="1" width="9.140625"/>
    <col min="5137" max="5137" customWidth="1" width="9.140625"/>
    <col min="5138" max="5138" customWidth="1" width="9.140625"/>
    <col min="5139" max="5139" customWidth="1" width="9.140625"/>
    <col min="5140" max="5140" customWidth="1" width="9.140625"/>
    <col min="5141" max="5141" customWidth="1" width="9.140625"/>
    <col min="5142" max="5142" customWidth="1" width="9.140625"/>
    <col min="5143" max="5143" customWidth="1" width="9.140625"/>
    <col min="5144" max="5144" customWidth="1" width="9.140625"/>
    <col min="5145" max="5145" customWidth="1" width="9.140625"/>
    <col min="5146" max="5146" customWidth="1" width="9.140625"/>
    <col min="5147" max="5147" customWidth="1" width="9.140625"/>
    <col min="5148" max="5148" customWidth="1" width="9.140625"/>
    <col min="5149" max="5149" customWidth="1" width="9.140625"/>
    <col min="5150" max="5150" customWidth="1" width="9.140625"/>
    <col min="5151" max="5151" customWidth="1" width="9.140625"/>
    <col min="5152" max="5152" customWidth="1" width="9.140625"/>
    <col min="5153" max="5153" customWidth="1" width="9.140625"/>
    <col min="5154" max="5154" customWidth="1" width="9.140625"/>
    <col min="5155" max="5155" customWidth="1" width="9.140625"/>
    <col min="5156" max="5156" customWidth="1" width="9.140625"/>
    <col min="5157" max="5157" customWidth="1" width="9.140625"/>
    <col min="5158" max="5158" customWidth="1" width="9.140625"/>
    <col min="5159" max="5159" customWidth="1" width="9.140625"/>
    <col min="5160" max="5160" customWidth="1" width="9.140625"/>
    <col min="5161" max="5161" customWidth="1" width="9.140625"/>
    <col min="5162" max="5162" customWidth="1" width="9.140625"/>
    <col min="5163" max="5163" customWidth="1" width="9.140625"/>
    <col min="5164" max="5164" customWidth="1" width="9.140625"/>
    <col min="5165" max="5165" customWidth="1" width="9.140625"/>
    <col min="5166" max="5166" customWidth="1" width="9.140625"/>
    <col min="5167" max="5167" customWidth="1" width="9.140625"/>
    <col min="5168" max="5168" customWidth="1" width="9.140625"/>
    <col min="5169" max="5169" customWidth="1" width="9.140625"/>
    <col min="5170" max="5170" customWidth="1" width="9.140625"/>
    <col min="5171" max="5171" customWidth="1" width="9.140625"/>
    <col min="5172" max="5172" customWidth="1" width="9.140625"/>
    <col min="5173" max="5173" customWidth="1" width="9.140625"/>
    <col min="5174" max="5174" customWidth="1" width="9.140625"/>
    <col min="5175" max="5175" customWidth="1" width="9.140625"/>
    <col min="5176" max="5176" customWidth="1" width="9.140625"/>
    <col min="5177" max="5177" customWidth="1" width="9.140625"/>
    <col min="5178" max="5178" customWidth="1" width="9.140625"/>
    <col min="5179" max="5179" customWidth="1" width="9.140625"/>
    <col min="5180" max="5180" customWidth="1" width="9.140625"/>
    <col min="5181" max="5181" customWidth="1" width="9.140625"/>
    <col min="5182" max="5182" customWidth="1" width="9.140625"/>
    <col min="5183" max="5183" customWidth="1" width="9.140625"/>
    <col min="5184" max="5184" customWidth="1" width="9.140625"/>
    <col min="5185" max="5185" customWidth="1" width="9.140625"/>
    <col min="5186" max="5186" customWidth="1" width="9.140625"/>
    <col min="5187" max="5187" customWidth="1" width="9.140625"/>
    <col min="5188" max="5188" customWidth="1" width="9.140625"/>
    <col min="5189" max="5189" customWidth="1" width="9.140625"/>
    <col min="5190" max="5190" customWidth="1" width="9.140625"/>
    <col min="5191" max="5191" customWidth="1" width="9.140625"/>
    <col min="5192" max="5192" customWidth="1" width="9.140625"/>
    <col min="5193" max="5193" customWidth="1" width="9.140625"/>
    <col min="5194" max="5194" customWidth="1" width="9.140625"/>
    <col min="5195" max="5195" customWidth="1" width="9.140625"/>
    <col min="5196" max="5196" customWidth="1" width="9.140625"/>
    <col min="5197" max="5197" customWidth="1" width="9.140625"/>
    <col min="5198" max="5198" customWidth="1" width="9.140625"/>
    <col min="5199" max="5199" customWidth="1" width="9.140625"/>
    <col min="5200" max="5200" customWidth="1" width="9.140625"/>
    <col min="5201" max="5201" customWidth="1" width="9.140625"/>
    <col min="5202" max="5202" customWidth="1" width="9.140625"/>
    <col min="5203" max="5203" customWidth="1" width="9.140625"/>
    <col min="5204" max="5204" customWidth="1" width="9.140625"/>
    <col min="5205" max="5205" customWidth="1" width="9.140625"/>
    <col min="5206" max="5206" customWidth="1" width="9.140625"/>
    <col min="5207" max="5207" customWidth="1" width="9.140625"/>
    <col min="5208" max="5208" customWidth="1" width="9.140625"/>
    <col min="5209" max="5209" customWidth="1" width="9.140625"/>
    <col min="5210" max="5210" customWidth="1" width="9.140625"/>
    <col min="5211" max="5211" customWidth="1" width="9.140625"/>
    <col min="5212" max="5212" customWidth="1" width="9.140625"/>
    <col min="5213" max="5213" customWidth="1" width="9.140625"/>
    <col min="5214" max="5214" customWidth="1" width="9.140625"/>
    <col min="5215" max="5215" customWidth="1" width="9.140625"/>
    <col min="5216" max="5216" customWidth="1" width="9.140625"/>
    <col min="5217" max="5217" customWidth="1" width="9.140625"/>
    <col min="5218" max="5218" customWidth="1" width="9.140625"/>
    <col min="5219" max="5219" customWidth="1" width="9.140625"/>
    <col min="5220" max="5220" customWidth="1" width="9.140625"/>
    <col min="5221" max="5221" customWidth="1" width="9.140625"/>
    <col min="5222" max="5222" customWidth="1" width="9.140625"/>
    <col min="5223" max="5223" customWidth="1" width="9.140625"/>
    <col min="5224" max="5224" customWidth="1" width="9.140625"/>
    <col min="5225" max="5225" customWidth="1" width="9.140625"/>
    <col min="5226" max="5226" customWidth="1" width="9.140625"/>
    <col min="5227" max="5227" customWidth="1" width="9.140625"/>
    <col min="5228" max="5228" customWidth="1" width="9.140625"/>
    <col min="5229" max="5229" customWidth="1" width="9.140625"/>
    <col min="5230" max="5230" customWidth="1" width="9.140625"/>
    <col min="5231" max="5231" customWidth="1" width="9.140625"/>
    <col min="5232" max="5232" customWidth="1" width="9.140625"/>
    <col min="5233" max="5233" customWidth="1" width="9.140625"/>
    <col min="5234" max="5234" customWidth="1" width="9.140625"/>
    <col min="5235" max="5235" customWidth="1" width="9.140625"/>
    <col min="5236" max="5236" customWidth="1" width="9.140625"/>
    <col min="5237" max="5237" customWidth="1" width="9.140625"/>
    <col min="5238" max="5238" customWidth="1" width="9.140625"/>
    <col min="5239" max="5239" customWidth="1" width="9.140625"/>
    <col min="5240" max="5240" customWidth="1" width="9.140625"/>
    <col min="5241" max="5241" customWidth="1" width="9.140625"/>
    <col min="5242" max="5242" customWidth="1" width="9.140625"/>
    <col min="5243" max="5243" customWidth="1" width="9.140625"/>
    <col min="5244" max="5244" customWidth="1" width="9.140625"/>
    <col min="5245" max="5245" customWidth="1" width="9.140625"/>
    <col min="5246" max="5246" customWidth="1" width="9.140625"/>
    <col min="5247" max="5247" customWidth="1" width="9.140625"/>
    <col min="5248" max="5248" customWidth="1" width="9.140625"/>
    <col min="5249" max="5249" customWidth="1" width="9.140625"/>
    <col min="5250" max="5250" customWidth="1" width="9.140625"/>
    <col min="5251" max="5251" customWidth="1" width="9.140625"/>
    <col min="5252" max="5252" customWidth="1" width="9.140625"/>
    <col min="5253" max="5253" customWidth="1" width="9.140625"/>
    <col min="5254" max="5254" customWidth="1" width="9.140625"/>
    <col min="5255" max="5255" customWidth="1" width="9.140625"/>
    <col min="5256" max="5256" customWidth="1" width="9.140625"/>
    <col min="5257" max="5257" customWidth="1" width="9.140625"/>
    <col min="5258" max="5258" customWidth="1" width="9.140625"/>
    <col min="5259" max="5259" customWidth="1" width="9.140625"/>
    <col min="5260" max="5260" customWidth="1" width="9.140625"/>
    <col min="5261" max="5261" customWidth="1" width="9.140625"/>
    <col min="5262" max="5262" customWidth="1" width="9.140625"/>
    <col min="5263" max="5263" customWidth="1" width="9.140625"/>
    <col min="5264" max="5264" customWidth="1" width="9.140625"/>
    <col min="5265" max="5265" customWidth="1" width="9.140625"/>
    <col min="5266" max="5266" customWidth="1" width="9.140625"/>
    <col min="5267" max="5267" customWidth="1" width="9.140625"/>
    <col min="5268" max="5268" customWidth="1" width="9.140625"/>
    <col min="5269" max="5269" customWidth="1" width="9.140625"/>
    <col min="5270" max="5270" customWidth="1" width="9.140625"/>
    <col min="5271" max="5271" customWidth="1" width="9.140625"/>
    <col min="5272" max="5272" customWidth="1" width="9.140625"/>
    <col min="5273" max="5273" customWidth="1" width="9.140625"/>
    <col min="5274" max="5274" customWidth="1" width="9.140625"/>
    <col min="5275" max="5275" customWidth="1" width="9.140625"/>
    <col min="5276" max="5276" customWidth="1" width="9.140625"/>
    <col min="5277" max="5277" customWidth="1" width="9.140625"/>
    <col min="5278" max="5278" customWidth="1" width="9.140625"/>
    <col min="5279" max="5279" customWidth="1" width="9.140625"/>
    <col min="5280" max="5280" customWidth="1" width="9.140625"/>
    <col min="5281" max="5281" customWidth="1" width="9.140625"/>
    <col min="5282" max="5282" customWidth="1" width="9.140625"/>
    <col min="5283" max="5283" customWidth="1" width="9.140625"/>
    <col min="5284" max="5284" customWidth="1" width="9.140625"/>
    <col min="5285" max="5285" customWidth="1" width="9.140625"/>
    <col min="5286" max="5286" customWidth="1" width="9.140625"/>
    <col min="5287" max="5287" customWidth="1" width="9.140625"/>
    <col min="5288" max="5288" customWidth="1" width="9.140625"/>
    <col min="5289" max="5289" customWidth="1" width="9.140625"/>
    <col min="5290" max="5290" customWidth="1" width="9.140625"/>
    <col min="5291" max="5291" customWidth="1" width="9.140625"/>
    <col min="5292" max="5292" customWidth="1" width="9.140625"/>
    <col min="5293" max="5293" customWidth="1" width="9.140625"/>
    <col min="5294" max="5294" customWidth="1" width="9.140625"/>
    <col min="5295" max="5295" customWidth="1" width="9.140625"/>
    <col min="5296" max="5296" customWidth="1" width="9.140625"/>
    <col min="5297" max="5297" customWidth="1" width="9.140625"/>
    <col min="5298" max="5298" customWidth="1" width="9.140625"/>
    <col min="5299" max="5299" customWidth="1" width="9.140625"/>
    <col min="5300" max="5300" customWidth="1" width="9.140625"/>
    <col min="5301" max="5301" customWidth="1" width="9.140625"/>
    <col min="5302" max="5302" customWidth="1" width="9.140625"/>
    <col min="5303" max="5303" customWidth="1" width="9.140625"/>
    <col min="5304" max="5304" customWidth="1" width="9.140625"/>
    <col min="5305" max="5305" customWidth="1" width="9.140625"/>
    <col min="5306" max="5306" customWidth="1" width="9.140625"/>
    <col min="5307" max="5307" customWidth="1" width="9.140625"/>
    <col min="5308" max="5308" customWidth="1" width="9.140625"/>
    <col min="5309" max="5309" customWidth="1" width="9.140625"/>
    <col min="5310" max="5310" customWidth="1" width="9.140625"/>
    <col min="5311" max="5311" customWidth="1" width="9.140625"/>
    <col min="5312" max="5312" customWidth="1" width="9.140625"/>
    <col min="5313" max="5313" customWidth="1" width="9.140625"/>
    <col min="5314" max="5314" customWidth="1" width="9.140625"/>
    <col min="5315" max="5315" customWidth="1" width="9.140625"/>
    <col min="5316" max="5316" customWidth="1" width="9.140625"/>
    <col min="5317" max="5317" customWidth="1" width="9.140625"/>
    <col min="5318" max="5318" customWidth="1" width="9.140625"/>
    <col min="5319" max="5319" customWidth="1" width="9.140625"/>
    <col min="5320" max="5320" customWidth="1" width="9.140625"/>
    <col min="5321" max="5321" customWidth="1" width="9.140625"/>
    <col min="5322" max="5322" customWidth="1" width="9.140625"/>
    <col min="5323" max="5323" customWidth="1" width="9.140625"/>
    <col min="5324" max="5324" customWidth="1" width="9.140625"/>
    <col min="5325" max="5325" customWidth="1" width="9.140625"/>
    <col min="5326" max="5326" customWidth="1" width="9.140625"/>
    <col min="5327" max="5327" customWidth="1" width="9.140625"/>
    <col min="5328" max="5328" customWidth="1" width="9.140625"/>
    <col min="5329" max="5329" customWidth="1" width="9.140625"/>
    <col min="5330" max="5330" customWidth="1" width="9.140625"/>
    <col min="5331" max="5331" customWidth="1" width="9.140625"/>
    <col min="5332" max="5332" customWidth="1" width="9.140625"/>
    <col min="5333" max="5333" customWidth="1" width="9.140625"/>
    <col min="5334" max="5334" customWidth="1" width="9.140625"/>
    <col min="5335" max="5335" customWidth="1" width="9.140625"/>
    <col min="5336" max="5336" customWidth="1" width="9.140625"/>
    <col min="5337" max="5337" customWidth="1" width="9.140625"/>
    <col min="5338" max="5338" customWidth="1" width="9.140625"/>
    <col min="5339" max="5339" customWidth="1" width="9.140625"/>
    <col min="5340" max="5340" customWidth="1" width="9.140625"/>
    <col min="5341" max="5341" customWidth="1" width="9.140625"/>
    <col min="5342" max="5342" customWidth="1" width="9.140625"/>
    <col min="5343" max="5343" customWidth="1" width="9.140625"/>
    <col min="5344" max="5344" customWidth="1" width="9.140625"/>
    <col min="5345" max="5345" customWidth="1" width="9.140625"/>
    <col min="5346" max="5346" customWidth="1" width="9.140625"/>
    <col min="5347" max="5347" customWidth="1" width="9.140625"/>
    <col min="5348" max="5348" customWidth="1" width="9.140625"/>
    <col min="5349" max="5349" customWidth="1" width="9.140625"/>
    <col min="5350" max="5350" customWidth="1" width="9.140625"/>
    <col min="5351" max="5351" customWidth="1" width="9.140625"/>
    <col min="5352" max="5352" customWidth="1" width="9.140625"/>
    <col min="5353" max="5353" customWidth="1" width="9.140625"/>
    <col min="5354" max="5354" customWidth="1" width="9.140625"/>
    <col min="5355" max="5355" customWidth="1" width="9.140625"/>
    <col min="5356" max="5356" customWidth="1" width="9.140625"/>
    <col min="5357" max="5357" customWidth="1" width="9.140625"/>
    <col min="5358" max="5358" customWidth="1" width="9.140625"/>
    <col min="5359" max="5359" customWidth="1" width="9.140625"/>
    <col min="5360" max="5360" customWidth="1" width="9.140625"/>
    <col min="5361" max="5361" customWidth="1" width="9.140625"/>
    <col min="5362" max="5362" customWidth="1" width="9.140625"/>
    <col min="5363" max="5363" customWidth="1" width="9.140625"/>
    <col min="5364" max="5364" customWidth="1" width="9.140625"/>
    <col min="5365" max="5365" customWidth="1" width="9.140625"/>
    <col min="5366" max="5366" customWidth="1" width="9.140625"/>
    <col min="5367" max="5367" customWidth="1" width="9.140625"/>
    <col min="5368" max="5368" customWidth="1" width="9.140625"/>
    <col min="5369" max="5369" customWidth="1" width="9.140625"/>
    <col min="5370" max="5370" customWidth="1" width="9.140625"/>
    <col min="5371" max="5371" customWidth="1" width="9.140625"/>
    <col min="5372" max="5372" customWidth="1" width="9.140625"/>
    <col min="5373" max="5373" customWidth="1" width="9.140625"/>
    <col min="5374" max="5374" customWidth="1" width="9.140625"/>
    <col min="5375" max="5375" customWidth="1" width="9.140625"/>
    <col min="5376" max="5376" customWidth="1" width="9.140625"/>
    <col min="5377" max="5377" customWidth="1" width="9.140625"/>
    <col min="5378" max="5378" customWidth="1" width="9.140625"/>
    <col min="5379" max="5379" customWidth="1" width="9.140625"/>
    <col min="5380" max="5380" customWidth="1" width="9.140625"/>
    <col min="5381" max="5381" customWidth="1" width="9.140625"/>
    <col min="5382" max="5382" customWidth="1" width="9.140625"/>
    <col min="5383" max="5383" customWidth="1" width="9.140625"/>
    <col min="5384" max="5384" customWidth="1" width="9.140625"/>
    <col min="5385" max="5385" customWidth="1" width="9.140625"/>
    <col min="5386" max="5386" customWidth="1" width="9.140625"/>
    <col min="5387" max="5387" customWidth="1" width="9.140625"/>
    <col min="5388" max="5388" customWidth="1" width="9.140625"/>
    <col min="5389" max="5389" customWidth="1" width="9.140625"/>
    <col min="5390" max="5390" customWidth="1" width="9.140625"/>
    <col min="5391" max="5391" customWidth="1" width="9.140625"/>
    <col min="5392" max="5392" customWidth="1" width="9.140625"/>
    <col min="5393" max="5393" customWidth="1" width="9.140625"/>
    <col min="5394" max="5394" customWidth="1" width="9.140625"/>
    <col min="5395" max="5395" customWidth="1" width="9.140625"/>
    <col min="5396" max="5396" customWidth="1" width="9.140625"/>
    <col min="5397" max="5397" customWidth="1" width="9.140625"/>
    <col min="5398" max="5398" customWidth="1" width="9.140625"/>
    <col min="5399" max="5399" customWidth="1" width="9.140625"/>
    <col min="5400" max="5400" customWidth="1" width="9.140625"/>
    <col min="5401" max="5401" customWidth="1" width="9.140625"/>
    <col min="5402" max="5402" customWidth="1" width="9.140625"/>
    <col min="5403" max="5403" customWidth="1" width="9.140625"/>
    <col min="5404" max="5404" customWidth="1" width="9.140625"/>
    <col min="5405" max="5405" customWidth="1" width="9.140625"/>
    <col min="5406" max="5406" customWidth="1" width="9.140625"/>
    <col min="5407" max="5407" customWidth="1" width="9.140625"/>
    <col min="5408" max="5408" customWidth="1" width="9.140625"/>
    <col min="5409" max="5409" customWidth="1" width="9.140625"/>
    <col min="5410" max="5410" customWidth="1" width="9.140625"/>
    <col min="5411" max="5411" customWidth="1" width="9.140625"/>
    <col min="5412" max="5412" customWidth="1" width="9.140625"/>
    <col min="5413" max="5413" customWidth="1" width="9.140625"/>
    <col min="5414" max="5414" customWidth="1" width="9.140625"/>
    <col min="5415" max="5415" customWidth="1" width="9.140625"/>
    <col min="5416" max="5416" customWidth="1" width="9.140625"/>
    <col min="5417" max="5417" customWidth="1" width="9.140625"/>
    <col min="5418" max="5418" customWidth="1" width="9.140625"/>
    <col min="5419" max="5419" customWidth="1" width="9.140625"/>
    <col min="5420" max="5420" customWidth="1" width="9.140625"/>
    <col min="5421" max="5421" customWidth="1" width="9.140625"/>
    <col min="5422" max="5422" customWidth="1" width="9.140625"/>
    <col min="5423" max="5423" customWidth="1" width="9.140625"/>
    <col min="5424" max="5424" customWidth="1" width="9.140625"/>
    <col min="5425" max="5425" customWidth="1" width="9.140625"/>
    <col min="5426" max="5426" customWidth="1" width="9.140625"/>
    <col min="5427" max="5427" customWidth="1" width="9.140625"/>
    <col min="5428" max="5428" customWidth="1" width="9.140625"/>
    <col min="5429" max="5429" customWidth="1" width="9.140625"/>
    <col min="5430" max="5430" customWidth="1" width="9.140625"/>
    <col min="5431" max="5431" customWidth="1" width="9.140625"/>
    <col min="5432" max="5432" customWidth="1" width="9.140625"/>
    <col min="5433" max="5433" customWidth="1" width="9.140625"/>
    <col min="5434" max="5434" customWidth="1" width="9.140625"/>
    <col min="5435" max="5435" customWidth="1" width="9.140625"/>
    <col min="5436" max="5436" customWidth="1" width="9.140625"/>
    <col min="5437" max="5437" customWidth="1" width="9.140625"/>
    <col min="5438" max="5438" customWidth="1" width="9.140625"/>
    <col min="5439" max="5439" customWidth="1" width="9.140625"/>
    <col min="5440" max="5440" customWidth="1" width="9.140625"/>
    <col min="5441" max="5441" customWidth="1" width="9.140625"/>
    <col min="5442" max="5442" customWidth="1" width="9.140625"/>
    <col min="5443" max="5443" customWidth="1" width="9.140625"/>
    <col min="5444" max="5444" customWidth="1" width="9.140625"/>
    <col min="5445" max="5445" customWidth="1" width="9.140625"/>
    <col min="5446" max="5446" customWidth="1" width="9.140625"/>
    <col min="5447" max="5447" customWidth="1" width="9.140625"/>
    <col min="5448" max="5448" customWidth="1" width="9.140625"/>
    <col min="5449" max="5449" customWidth="1" width="9.140625"/>
    <col min="5450" max="5450" customWidth="1" width="9.140625"/>
    <col min="5451" max="5451" customWidth="1" width="9.140625"/>
    <col min="5452" max="5452" customWidth="1" width="9.140625"/>
    <col min="5453" max="5453" customWidth="1" width="9.140625"/>
    <col min="5454" max="5454" customWidth="1" width="9.140625"/>
    <col min="5455" max="5455" customWidth="1" width="9.140625"/>
    <col min="5456" max="5456" customWidth="1" width="9.140625"/>
    <col min="5457" max="5457" customWidth="1" width="9.140625"/>
    <col min="5458" max="5458" customWidth="1" width="9.140625"/>
    <col min="5459" max="5459" customWidth="1" width="9.140625"/>
    <col min="5460" max="5460" customWidth="1" width="9.140625"/>
    <col min="5461" max="5461" customWidth="1" width="9.140625"/>
    <col min="5462" max="5462" customWidth="1" width="9.140625"/>
    <col min="5463" max="5463" customWidth="1" width="9.140625"/>
    <col min="5464" max="5464" customWidth="1" width="9.140625"/>
    <col min="5465" max="5465" customWidth="1" width="9.140625"/>
    <col min="5466" max="5466" customWidth="1" width="9.140625"/>
    <col min="5467" max="5467" customWidth="1" width="9.140625"/>
    <col min="5468" max="5468" customWidth="1" width="9.140625"/>
    <col min="5469" max="5469" customWidth="1" width="9.140625"/>
    <col min="5470" max="5470" customWidth="1" width="9.140625"/>
    <col min="5471" max="5471" customWidth="1" width="9.140625"/>
    <col min="5472" max="5472" customWidth="1" width="9.140625"/>
    <col min="5473" max="5473" customWidth="1" width="9.140625"/>
    <col min="5474" max="5474" customWidth="1" width="9.140625"/>
    <col min="5475" max="5475" customWidth="1" width="9.140625"/>
    <col min="5476" max="5476" customWidth="1" width="9.140625"/>
    <col min="5477" max="5477" customWidth="1" width="9.140625"/>
    <col min="5478" max="5478" customWidth="1" width="9.140625"/>
    <col min="5479" max="5479" customWidth="1" width="9.140625"/>
    <col min="5480" max="5480" customWidth="1" width="9.140625"/>
    <col min="5481" max="5481" customWidth="1" width="9.140625"/>
    <col min="5482" max="5482" customWidth="1" width="9.140625"/>
    <col min="5483" max="5483" customWidth="1" width="9.140625"/>
    <col min="5484" max="5484" customWidth="1" width="9.140625"/>
    <col min="5485" max="5485" customWidth="1" width="9.140625"/>
    <col min="5486" max="5486" customWidth="1" width="9.140625"/>
    <col min="5487" max="5487" customWidth="1" width="9.140625"/>
    <col min="5488" max="5488" customWidth="1" width="9.140625"/>
    <col min="5489" max="5489" customWidth="1" width="9.140625"/>
    <col min="5490" max="5490" customWidth="1" width="9.140625"/>
    <col min="5491" max="5491" customWidth="1" width="9.140625"/>
    <col min="5492" max="5492" customWidth="1" width="9.140625"/>
    <col min="5493" max="5493" customWidth="1" width="9.140625"/>
    <col min="5494" max="5494" customWidth="1" width="9.140625"/>
    <col min="5495" max="5495" customWidth="1" width="9.140625"/>
    <col min="5496" max="5496" customWidth="1" width="9.140625"/>
    <col min="5497" max="5497" customWidth="1" width="9.140625"/>
    <col min="5498" max="5498" customWidth="1" width="9.140625"/>
    <col min="5499" max="5499" customWidth="1" width="9.140625"/>
    <col min="5500" max="5500" customWidth="1" width="9.140625"/>
    <col min="5501" max="5501" customWidth="1" width="9.140625"/>
    <col min="5502" max="5502" customWidth="1" width="9.140625"/>
    <col min="5503" max="5503" customWidth="1" width="9.140625"/>
    <col min="5504" max="5504" customWidth="1" width="9.140625"/>
    <col min="5505" max="5505" customWidth="1" width="9.140625"/>
    <col min="5506" max="5506" customWidth="1" width="9.140625"/>
    <col min="5507" max="5507" customWidth="1" width="9.140625"/>
    <col min="5508" max="5508" customWidth="1" width="9.140625"/>
    <col min="5509" max="5509" customWidth="1" width="9.140625"/>
    <col min="5510" max="5510" customWidth="1" width="9.140625"/>
    <col min="5511" max="5511" customWidth="1" width="9.140625"/>
    <col min="5512" max="5512" customWidth="1" width="9.140625"/>
    <col min="5513" max="5513" customWidth="1" width="9.140625"/>
    <col min="5514" max="5514" customWidth="1" width="9.140625"/>
    <col min="5515" max="5515" customWidth="1" width="9.140625"/>
    <col min="5516" max="5516" customWidth="1" width="9.140625"/>
    <col min="5517" max="5517" customWidth="1" width="9.140625"/>
    <col min="5518" max="5518" customWidth="1" width="9.140625"/>
    <col min="5519" max="5519" customWidth="1" width="9.140625"/>
    <col min="5520" max="5520" customWidth="1" width="9.140625"/>
    <col min="5521" max="5521" customWidth="1" width="9.140625"/>
    <col min="5522" max="5522" customWidth="1" width="9.140625"/>
    <col min="5523" max="5523" customWidth="1" width="9.140625"/>
    <col min="5524" max="5524" customWidth="1" width="9.140625"/>
    <col min="5525" max="5525" customWidth="1" width="9.140625"/>
    <col min="5526" max="5526" customWidth="1" width="9.140625"/>
    <col min="5527" max="5527" customWidth="1" width="9.140625"/>
    <col min="5528" max="5528" customWidth="1" width="9.140625"/>
    <col min="5529" max="5529" customWidth="1" width="9.140625"/>
    <col min="5530" max="5530" customWidth="1" width="9.140625"/>
    <col min="5531" max="5531" customWidth="1" width="9.140625"/>
    <col min="5532" max="5532" customWidth="1" width="9.140625"/>
    <col min="5533" max="5533" customWidth="1" width="9.140625"/>
    <col min="5534" max="5534" customWidth="1" width="9.140625"/>
    <col min="5535" max="5535" customWidth="1" width="9.140625"/>
    <col min="5536" max="5536" customWidth="1" width="9.140625"/>
    <col min="5537" max="5537" customWidth="1" width="9.140625"/>
    <col min="5538" max="5538" customWidth="1" width="9.140625"/>
    <col min="5539" max="5539" customWidth="1" width="9.140625"/>
    <col min="5540" max="5540" customWidth="1" width="9.140625"/>
    <col min="5541" max="5541" customWidth="1" width="9.140625"/>
    <col min="5542" max="5542" customWidth="1" width="9.140625"/>
    <col min="5543" max="5543" customWidth="1" width="9.140625"/>
    <col min="5544" max="5544" customWidth="1" width="9.140625"/>
    <col min="5545" max="5545" customWidth="1" width="9.140625"/>
    <col min="5546" max="5546" customWidth="1" width="9.140625"/>
    <col min="5547" max="5547" customWidth="1" width="9.140625"/>
    <col min="5548" max="5548" customWidth="1" width="9.140625"/>
    <col min="5549" max="5549" customWidth="1" width="9.140625"/>
    <col min="5550" max="5550" customWidth="1" width="9.140625"/>
    <col min="5551" max="5551" customWidth="1" width="9.140625"/>
    <col min="5552" max="5552" customWidth="1" width="9.140625"/>
    <col min="5553" max="5553" customWidth="1" width="9.140625"/>
    <col min="5554" max="5554" customWidth="1" width="9.140625"/>
    <col min="5555" max="5555" customWidth="1" width="9.140625"/>
    <col min="5556" max="5556" customWidth="1" width="9.140625"/>
    <col min="5557" max="5557" customWidth="1" width="9.140625"/>
    <col min="5558" max="5558" customWidth="1" width="9.140625"/>
    <col min="5559" max="5559" customWidth="1" width="9.140625"/>
    <col min="5560" max="5560" customWidth="1" width="9.140625"/>
    <col min="5561" max="5561" customWidth="1" width="9.140625"/>
    <col min="5562" max="5562" customWidth="1" width="9.140625"/>
    <col min="5563" max="5563" customWidth="1" width="9.140625"/>
    <col min="5564" max="5564" customWidth="1" width="9.140625"/>
    <col min="5565" max="5565" customWidth="1" width="9.140625"/>
    <col min="5566" max="5566" customWidth="1" width="9.140625"/>
    <col min="5567" max="5567" customWidth="1" width="9.140625"/>
    <col min="5568" max="5568" customWidth="1" width="9.140625"/>
    <col min="5569" max="5569" customWidth="1" width="9.140625"/>
    <col min="5570" max="5570" customWidth="1" width="9.140625"/>
    <col min="5571" max="5571" customWidth="1" width="9.140625"/>
    <col min="5572" max="5572" customWidth="1" width="9.140625"/>
    <col min="5573" max="5573" customWidth="1" width="9.140625"/>
    <col min="5574" max="5574" customWidth="1" width="9.140625"/>
    <col min="5575" max="5575" customWidth="1" width="9.140625"/>
    <col min="5576" max="5576" customWidth="1" width="9.140625"/>
    <col min="5577" max="5577" customWidth="1" width="9.140625"/>
    <col min="5578" max="5578" customWidth="1" width="9.140625"/>
    <col min="5579" max="5579" customWidth="1" width="9.140625"/>
    <col min="5580" max="5580" customWidth="1" width="9.140625"/>
    <col min="5581" max="5581" customWidth="1" width="9.140625"/>
    <col min="5582" max="5582" customWidth="1" width="9.140625"/>
    <col min="5583" max="5583" customWidth="1" width="9.140625"/>
    <col min="5584" max="5584" customWidth="1" width="9.140625"/>
    <col min="5585" max="5585" customWidth="1" width="9.140625"/>
    <col min="5586" max="5586" customWidth="1" width="9.140625"/>
    <col min="5587" max="5587" customWidth="1" width="9.140625"/>
    <col min="5588" max="5588" customWidth="1" width="9.140625"/>
    <col min="5589" max="5589" customWidth="1" width="9.140625"/>
    <col min="5590" max="5590" customWidth="1" width="9.140625"/>
    <col min="5591" max="5591" customWidth="1" width="9.140625"/>
    <col min="5592" max="5592" customWidth="1" width="9.140625"/>
    <col min="5593" max="5593" customWidth="1" width="9.140625"/>
    <col min="5594" max="5594" customWidth="1" width="9.140625"/>
    <col min="5595" max="5595" customWidth="1" width="9.140625"/>
    <col min="5596" max="5596" customWidth="1" width="9.140625"/>
    <col min="5597" max="5597" customWidth="1" width="9.140625"/>
    <col min="5598" max="5598" customWidth="1" width="9.140625"/>
    <col min="5599" max="5599" customWidth="1" width="9.140625"/>
    <col min="5600" max="5600" customWidth="1" width="9.140625"/>
    <col min="5601" max="5601" customWidth="1" width="9.140625"/>
    <col min="5602" max="5602" customWidth="1" width="9.140625"/>
    <col min="5603" max="5603" customWidth="1" width="9.140625"/>
    <col min="5604" max="5604" customWidth="1" width="9.140625"/>
    <col min="5605" max="5605" customWidth="1" width="9.140625"/>
    <col min="5606" max="5606" customWidth="1" width="9.140625"/>
    <col min="5607" max="5607" customWidth="1" width="9.140625"/>
    <col min="5608" max="5608" customWidth="1" width="9.140625"/>
    <col min="5609" max="5609" customWidth="1" width="9.140625"/>
    <col min="5610" max="5610" customWidth="1" width="9.140625"/>
    <col min="5611" max="5611" customWidth="1" width="9.140625"/>
    <col min="5612" max="5612" customWidth="1" width="9.140625"/>
    <col min="5613" max="5613" customWidth="1" width="9.140625"/>
    <col min="5614" max="5614" customWidth="1" width="9.140625"/>
    <col min="5615" max="5615" customWidth="1" width="9.140625"/>
    <col min="5616" max="5616" customWidth="1" width="9.140625"/>
    <col min="5617" max="5617" customWidth="1" width="9.140625"/>
    <col min="5618" max="5618" customWidth="1" width="9.140625"/>
    <col min="5619" max="5619" customWidth="1" width="9.140625"/>
    <col min="5620" max="5620" customWidth="1" width="9.140625"/>
    <col min="5621" max="5621" customWidth="1" width="9.140625"/>
    <col min="5622" max="5622" customWidth="1" width="9.140625"/>
    <col min="5623" max="5623" customWidth="1" width="9.140625"/>
    <col min="5624" max="5624" customWidth="1" width="9.140625"/>
    <col min="5625" max="5625" customWidth="1" width="9.140625"/>
    <col min="5626" max="5626" customWidth="1" width="9.140625"/>
    <col min="5627" max="5627" customWidth="1" width="9.140625"/>
    <col min="5628" max="5628" customWidth="1" width="9.140625"/>
    <col min="5629" max="5629" customWidth="1" width="9.140625"/>
    <col min="5630" max="5630" customWidth="1" width="9.140625"/>
    <col min="5631" max="5631" customWidth="1" width="9.140625"/>
    <col min="5632" max="5632" customWidth="1" width="9.140625"/>
    <col min="5633" max="5633" customWidth="1" width="9.140625"/>
    <col min="5634" max="5634" customWidth="1" width="9.140625"/>
    <col min="5635" max="5635" customWidth="1" width="9.140625"/>
    <col min="5636" max="5636" customWidth="1" width="9.140625"/>
    <col min="5637" max="5637" customWidth="1" width="9.140625"/>
    <col min="5638" max="5638" customWidth="1" width="9.140625"/>
    <col min="5639" max="5639" customWidth="1" width="9.140625"/>
    <col min="5640" max="5640" customWidth="1" width="9.140625"/>
    <col min="5641" max="5641" customWidth="1" width="9.140625"/>
    <col min="5642" max="5642" customWidth="1" width="9.140625"/>
    <col min="5643" max="5643" customWidth="1" width="9.140625"/>
    <col min="5644" max="5644" customWidth="1" width="9.140625"/>
    <col min="5645" max="5645" customWidth="1" width="9.140625"/>
    <col min="5646" max="5646" customWidth="1" width="9.140625"/>
    <col min="5647" max="5647" customWidth="1" width="9.140625"/>
    <col min="5648" max="5648" customWidth="1" width="9.140625"/>
    <col min="5649" max="5649" customWidth="1" width="9.140625"/>
    <col min="5650" max="5650" customWidth="1" width="9.140625"/>
    <col min="5651" max="5651" customWidth="1" width="9.140625"/>
    <col min="5652" max="5652" customWidth="1" width="9.140625"/>
    <col min="5653" max="5653" customWidth="1" width="9.140625"/>
    <col min="5654" max="5654" customWidth="1" width="9.140625"/>
    <col min="5655" max="5655" customWidth="1" width="9.140625"/>
    <col min="5656" max="5656" customWidth="1" width="9.140625"/>
    <col min="5657" max="5657" customWidth="1" width="9.140625"/>
    <col min="5658" max="5658" customWidth="1" width="9.140625"/>
    <col min="5659" max="5659" customWidth="1" width="9.140625"/>
    <col min="5660" max="5660" customWidth="1" width="9.140625"/>
    <col min="5661" max="5661" customWidth="1" width="9.140625"/>
    <col min="5662" max="5662" customWidth="1" width="9.140625"/>
    <col min="5663" max="5663" customWidth="1" width="9.140625"/>
    <col min="5664" max="5664" customWidth="1" width="9.140625"/>
    <col min="5665" max="5665" customWidth="1" width="9.140625"/>
    <col min="5666" max="5666" customWidth="1" width="9.140625"/>
    <col min="5667" max="5667" customWidth="1" width="9.140625"/>
    <col min="5668" max="5668" customWidth="1" width="9.140625"/>
    <col min="5669" max="5669" customWidth="1" width="9.140625"/>
    <col min="5670" max="5670" customWidth="1" width="9.140625"/>
    <col min="5671" max="5671" customWidth="1" width="9.140625"/>
    <col min="5672" max="5672" customWidth="1" width="9.140625"/>
    <col min="5673" max="5673" customWidth="1" width="9.140625"/>
    <col min="5674" max="5674" customWidth="1" width="9.140625"/>
    <col min="5675" max="5675" customWidth="1" width="9.140625"/>
    <col min="5676" max="5676" customWidth="1" width="9.140625"/>
    <col min="5677" max="5677" customWidth="1" width="9.140625"/>
    <col min="5678" max="5678" customWidth="1" width="9.140625"/>
    <col min="5679" max="5679" customWidth="1" width="9.140625"/>
    <col min="5680" max="5680" customWidth="1" width="9.140625"/>
    <col min="5681" max="5681" customWidth="1" width="9.140625"/>
    <col min="5682" max="5682" customWidth="1" width="9.140625"/>
    <col min="5683" max="5683" customWidth="1" width="9.140625"/>
    <col min="5684" max="5684" customWidth="1" width="9.140625"/>
    <col min="5685" max="5685" customWidth="1" width="9.140625"/>
    <col min="5686" max="5686" customWidth="1" width="9.140625"/>
    <col min="5687" max="5687" customWidth="1" width="9.140625"/>
    <col min="5688" max="5688" customWidth="1" width="9.140625"/>
    <col min="5689" max="5689" customWidth="1" width="9.140625"/>
    <col min="5690" max="5690" customWidth="1" width="9.140625"/>
    <col min="5691" max="5691" customWidth="1" width="9.140625"/>
    <col min="5692" max="5692" customWidth="1" width="9.140625"/>
    <col min="5693" max="5693" customWidth="1" width="9.140625"/>
    <col min="5694" max="5694" customWidth="1" width="9.140625"/>
    <col min="5695" max="5695" customWidth="1" width="9.140625"/>
    <col min="5696" max="5696" customWidth="1" width="9.140625"/>
    <col min="5697" max="5697" customWidth="1" width="9.140625"/>
    <col min="5698" max="5698" customWidth="1" width="9.140625"/>
    <col min="5699" max="5699" customWidth="1" width="9.140625"/>
    <col min="5700" max="5700" customWidth="1" width="9.140625"/>
    <col min="5701" max="5701" customWidth="1" width="9.140625"/>
    <col min="5702" max="5702" customWidth="1" width="9.140625"/>
    <col min="5703" max="5703" customWidth="1" width="9.140625"/>
    <col min="5704" max="5704" customWidth="1" width="9.140625"/>
    <col min="5705" max="5705" customWidth="1" width="9.140625"/>
    <col min="5706" max="5706" customWidth="1" width="9.140625"/>
    <col min="5707" max="5707" customWidth="1" width="9.140625"/>
    <col min="5708" max="5708" customWidth="1" width="9.140625"/>
    <col min="5709" max="5709" customWidth="1" width="9.140625"/>
    <col min="5710" max="5710" customWidth="1" width="9.140625"/>
    <col min="5711" max="5711" customWidth="1" width="9.140625"/>
    <col min="5712" max="5712" customWidth="1" width="9.140625"/>
    <col min="5713" max="5713" customWidth="1" width="9.140625"/>
    <col min="5714" max="5714" customWidth="1" width="9.140625"/>
    <col min="5715" max="5715" customWidth="1" width="9.140625"/>
    <col min="5716" max="5716" customWidth="1" width="9.140625"/>
    <col min="5717" max="5717" customWidth="1" width="9.140625"/>
    <col min="5718" max="5718" customWidth="1" width="9.140625"/>
    <col min="5719" max="5719" customWidth="1" width="9.140625"/>
    <col min="5720" max="5720" customWidth="1" width="9.140625"/>
    <col min="5721" max="5721" customWidth="1" width="9.140625"/>
    <col min="5722" max="5722" customWidth="1" width="9.140625"/>
    <col min="5723" max="5723" customWidth="1" width="9.140625"/>
    <col min="5724" max="5724" customWidth="1" width="9.140625"/>
    <col min="5725" max="5725" customWidth="1" width="9.140625"/>
    <col min="5726" max="5726" customWidth="1" width="9.140625"/>
    <col min="5727" max="5727" customWidth="1" width="9.140625"/>
    <col min="5728" max="5728" customWidth="1" width="9.140625"/>
    <col min="5729" max="5729" customWidth="1" width="9.140625"/>
    <col min="5730" max="5730" customWidth="1" width="9.140625"/>
    <col min="5731" max="5731" customWidth="1" width="9.140625"/>
    <col min="5732" max="5732" customWidth="1" width="9.140625"/>
    <col min="5733" max="5733" customWidth="1" width="9.140625"/>
    <col min="5734" max="5734" customWidth="1" width="9.140625"/>
    <col min="5735" max="5735" customWidth="1" width="9.140625"/>
    <col min="5736" max="5736" customWidth="1" width="9.140625"/>
    <col min="5737" max="5737" customWidth="1" width="9.140625"/>
    <col min="5738" max="5738" customWidth="1" width="9.140625"/>
    <col min="5739" max="5739" customWidth="1" width="9.140625"/>
    <col min="5740" max="5740" customWidth="1" width="9.140625"/>
    <col min="5741" max="5741" customWidth="1" width="9.140625"/>
    <col min="5742" max="5742" customWidth="1" width="9.140625"/>
    <col min="5743" max="5743" customWidth="1" width="9.140625"/>
    <col min="5744" max="5744" customWidth="1" width="9.140625"/>
    <col min="5745" max="5745" customWidth="1" width="9.140625"/>
    <col min="5746" max="5746" customWidth="1" width="9.140625"/>
    <col min="5747" max="5747" customWidth="1" width="9.140625"/>
    <col min="5748" max="5748" customWidth="1" width="9.140625"/>
    <col min="5749" max="5749" customWidth="1" width="9.140625"/>
    <col min="5750" max="5750" customWidth="1" width="9.140625"/>
    <col min="5751" max="5751" customWidth="1" width="9.140625"/>
    <col min="5752" max="5752" customWidth="1" width="9.140625"/>
    <col min="5753" max="5753" customWidth="1" width="9.140625"/>
    <col min="5754" max="5754" customWidth="1" width="9.140625"/>
    <col min="5755" max="5755" customWidth="1" width="9.140625"/>
    <col min="5756" max="5756" customWidth="1" width="9.140625"/>
    <col min="5757" max="5757" customWidth="1" width="9.140625"/>
    <col min="5758" max="5758" customWidth="1" width="9.140625"/>
    <col min="5759" max="5759" customWidth="1" width="9.140625"/>
    <col min="5760" max="5760" customWidth="1" width="9.140625"/>
    <col min="5761" max="5761" customWidth="1" width="9.140625"/>
    <col min="5762" max="5762" customWidth="1" width="9.140625"/>
    <col min="5763" max="5763" customWidth="1" width="9.140625"/>
    <col min="5764" max="5764" customWidth="1" width="9.140625"/>
    <col min="5765" max="5765" customWidth="1" width="9.140625"/>
    <col min="5766" max="5766" customWidth="1" width="9.140625"/>
    <col min="5767" max="5767" customWidth="1" width="9.140625"/>
    <col min="5768" max="5768" customWidth="1" width="9.140625"/>
    <col min="5769" max="5769" customWidth="1" width="9.140625"/>
    <col min="5770" max="5770" customWidth="1" width="9.140625"/>
    <col min="5771" max="5771" customWidth="1" width="9.140625"/>
    <col min="5772" max="5772" customWidth="1" width="9.140625"/>
    <col min="5773" max="5773" customWidth="1" width="9.140625"/>
    <col min="5774" max="5774" customWidth="1" width="9.140625"/>
    <col min="5775" max="5775" customWidth="1" width="9.140625"/>
    <col min="5776" max="5776" customWidth="1" width="9.140625"/>
    <col min="5777" max="5777" customWidth="1" width="9.140625"/>
    <col min="5778" max="5778" customWidth="1" width="9.140625"/>
    <col min="5779" max="5779" customWidth="1" width="9.140625"/>
    <col min="5780" max="5780" customWidth="1" width="9.140625"/>
    <col min="5781" max="5781" customWidth="1" width="9.140625"/>
    <col min="5782" max="5782" customWidth="1" width="9.140625"/>
    <col min="5783" max="5783" customWidth="1" width="9.140625"/>
    <col min="5784" max="5784" customWidth="1" width="9.140625"/>
    <col min="5785" max="5785" customWidth="1" width="9.140625"/>
    <col min="5786" max="5786" customWidth="1" width="9.140625"/>
    <col min="5787" max="5787" customWidth="1" width="9.140625"/>
    <col min="5788" max="5788" customWidth="1" width="9.140625"/>
    <col min="5789" max="5789" customWidth="1" width="9.140625"/>
    <col min="5790" max="5790" customWidth="1" width="9.140625"/>
    <col min="5791" max="5791" customWidth="1" width="9.140625"/>
    <col min="5792" max="5792" customWidth="1" width="9.140625"/>
    <col min="5793" max="5793" customWidth="1" width="9.140625"/>
    <col min="5794" max="5794" customWidth="1" width="9.140625"/>
    <col min="5795" max="5795" customWidth="1" width="9.140625"/>
    <col min="5796" max="5796" customWidth="1" width="9.140625"/>
    <col min="5797" max="5797" customWidth="1" width="9.140625"/>
    <col min="5798" max="5798" customWidth="1" width="9.140625"/>
    <col min="5799" max="5799" customWidth="1" width="9.140625"/>
    <col min="5800" max="5800" customWidth="1" width="9.140625"/>
    <col min="5801" max="5801" customWidth="1" width="9.140625"/>
    <col min="5802" max="5802" customWidth="1" width="9.140625"/>
    <col min="5803" max="5803" customWidth="1" width="9.140625"/>
    <col min="5804" max="5804" customWidth="1" width="9.140625"/>
    <col min="5805" max="5805" customWidth="1" width="9.140625"/>
    <col min="5806" max="5806" customWidth="1" width="9.140625"/>
    <col min="5807" max="5807" customWidth="1" width="9.140625"/>
    <col min="5808" max="5808" customWidth="1" width="9.140625"/>
    <col min="5809" max="5809" customWidth="1" width="9.140625"/>
    <col min="5810" max="5810" customWidth="1" width="9.140625"/>
    <col min="5811" max="5811" customWidth="1" width="9.140625"/>
    <col min="5812" max="5812" customWidth="1" width="9.140625"/>
    <col min="5813" max="5813" customWidth="1" width="9.140625"/>
    <col min="5814" max="5814" customWidth="1" width="9.140625"/>
    <col min="5815" max="5815" customWidth="1" width="9.140625"/>
    <col min="5816" max="5816" customWidth="1" width="9.140625"/>
    <col min="5817" max="5817" customWidth="1" width="9.140625"/>
    <col min="5818" max="5818" customWidth="1" width="9.140625"/>
    <col min="5819" max="5819" customWidth="1" width="9.140625"/>
    <col min="5820" max="5820" customWidth="1" width="9.140625"/>
    <col min="5821" max="5821" customWidth="1" width="9.140625"/>
    <col min="5822" max="5822" customWidth="1" width="9.140625"/>
    <col min="5823" max="5823" customWidth="1" width="9.140625"/>
    <col min="5824" max="5824" customWidth="1" width="9.140625"/>
    <col min="5825" max="5825" customWidth="1" width="9.140625"/>
    <col min="5826" max="5826" customWidth="1" width="9.140625"/>
    <col min="5827" max="5827" customWidth="1" width="9.140625"/>
    <col min="5828" max="5828" customWidth="1" width="9.140625"/>
    <col min="5829" max="5829" customWidth="1" width="9.140625"/>
    <col min="5830" max="5830" customWidth="1" width="9.140625"/>
    <col min="5831" max="5831" customWidth="1" width="9.140625"/>
    <col min="5832" max="5832" customWidth="1" width="9.140625"/>
    <col min="5833" max="5833" customWidth="1" width="9.140625"/>
    <col min="5834" max="5834" customWidth="1" width="9.140625"/>
    <col min="5835" max="5835" customWidth="1" width="9.140625"/>
    <col min="5836" max="5836" customWidth="1" width="9.140625"/>
    <col min="5837" max="5837" customWidth="1" width="9.140625"/>
    <col min="5838" max="5838" customWidth="1" width="9.140625"/>
    <col min="5839" max="5839" customWidth="1" width="9.140625"/>
    <col min="5840" max="5840" customWidth="1" width="9.140625"/>
    <col min="5841" max="5841" customWidth="1" width="9.140625"/>
    <col min="5842" max="5842" customWidth="1" width="9.140625"/>
    <col min="5843" max="5843" customWidth="1" width="9.140625"/>
    <col min="5844" max="5844" customWidth="1" width="9.140625"/>
    <col min="5845" max="5845" customWidth="1" width="9.140625"/>
    <col min="5846" max="5846" customWidth="1" width="9.140625"/>
    <col min="5847" max="5847" customWidth="1" width="9.140625"/>
    <col min="5848" max="5848" customWidth="1" width="9.140625"/>
    <col min="5849" max="5849" customWidth="1" width="9.140625"/>
    <col min="5850" max="5850" customWidth="1" width="9.140625"/>
    <col min="5851" max="5851" customWidth="1" width="9.140625"/>
    <col min="5852" max="5852" customWidth="1" width="9.140625"/>
    <col min="5853" max="5853" customWidth="1" width="9.140625"/>
    <col min="5854" max="5854" customWidth="1" width="9.140625"/>
    <col min="5855" max="5855" customWidth="1" width="9.140625"/>
    <col min="5856" max="5856" customWidth="1" width="9.140625"/>
    <col min="5857" max="5857" customWidth="1" width="9.140625"/>
    <col min="5858" max="5858" customWidth="1" width="9.140625"/>
    <col min="5859" max="5859" customWidth="1" width="9.140625"/>
    <col min="5860" max="5860" customWidth="1" width="9.140625"/>
    <col min="5861" max="5861" customWidth="1" width="9.140625"/>
    <col min="5862" max="5862" customWidth="1" width="9.140625"/>
    <col min="5863" max="5863" customWidth="1" width="9.140625"/>
    <col min="5864" max="5864" customWidth="1" width="9.140625"/>
    <col min="5865" max="5865" customWidth="1" width="9.140625"/>
    <col min="5866" max="5866" customWidth="1" width="9.140625"/>
    <col min="5867" max="5867" customWidth="1" width="9.140625"/>
    <col min="5868" max="5868" customWidth="1" width="9.140625"/>
    <col min="5869" max="5869" customWidth="1" width="9.140625"/>
    <col min="5870" max="5870" customWidth="1" width="9.140625"/>
    <col min="5871" max="5871" customWidth="1" width="9.140625"/>
    <col min="5872" max="5872" customWidth="1" width="9.140625"/>
    <col min="5873" max="5873" customWidth="1" width="9.140625"/>
    <col min="5874" max="5874" customWidth="1" width="9.140625"/>
    <col min="5875" max="5875" customWidth="1" width="9.140625"/>
    <col min="5876" max="5876" customWidth="1" width="9.140625"/>
    <col min="5877" max="5877" customWidth="1" width="9.140625"/>
    <col min="5878" max="5878" customWidth="1" width="9.140625"/>
    <col min="5879" max="5879" customWidth="1" width="9.140625"/>
    <col min="5880" max="5880" customWidth="1" width="9.140625"/>
    <col min="5881" max="5881" customWidth="1" width="9.140625"/>
    <col min="5882" max="5882" customWidth="1" width="9.140625"/>
    <col min="5883" max="5883" customWidth="1" width="9.140625"/>
    <col min="5884" max="5884" customWidth="1" width="9.140625"/>
    <col min="5885" max="5885" customWidth="1" width="9.140625"/>
    <col min="5886" max="5886" customWidth="1" width="9.140625"/>
    <col min="5887" max="5887" customWidth="1" width="9.140625"/>
    <col min="5888" max="5888" customWidth="1" width="9.140625"/>
    <col min="5889" max="5889" customWidth="1" width="9.140625"/>
    <col min="5890" max="5890" customWidth="1" width="9.140625"/>
    <col min="5891" max="5891" customWidth="1" width="9.140625"/>
    <col min="5892" max="5892" customWidth="1" width="9.140625"/>
    <col min="5893" max="5893" customWidth="1" width="9.140625"/>
    <col min="5894" max="5894" customWidth="1" width="9.140625"/>
    <col min="5895" max="5895" customWidth="1" width="9.140625"/>
    <col min="5896" max="5896" customWidth="1" width="9.140625"/>
    <col min="5897" max="5897" customWidth="1" width="9.140625"/>
    <col min="5898" max="5898" customWidth="1" width="9.140625"/>
    <col min="5899" max="5899" customWidth="1" width="9.140625"/>
    <col min="5900" max="5900" customWidth="1" width="9.140625"/>
    <col min="5901" max="5901" customWidth="1" width="9.140625"/>
    <col min="5902" max="5902" customWidth="1" width="9.140625"/>
    <col min="5903" max="5903" customWidth="1" width="9.140625"/>
    <col min="5904" max="5904" customWidth="1" width="9.140625"/>
    <col min="5905" max="5905" customWidth="1" width="9.140625"/>
    <col min="5906" max="5906" customWidth="1" width="9.140625"/>
    <col min="5907" max="5907" customWidth="1" width="9.140625"/>
    <col min="5908" max="5908" customWidth="1" width="9.140625"/>
    <col min="5909" max="5909" customWidth="1" width="9.140625"/>
    <col min="5910" max="5910" customWidth="1" width="9.140625"/>
    <col min="5911" max="5911" customWidth="1" width="9.140625"/>
    <col min="5912" max="5912" customWidth="1" width="9.140625"/>
    <col min="5913" max="5913" customWidth="1" width="9.140625"/>
    <col min="5914" max="5914" customWidth="1" width="9.140625"/>
    <col min="5915" max="5915" customWidth="1" width="9.140625"/>
    <col min="5916" max="5916" customWidth="1" width="9.140625"/>
    <col min="5917" max="5917" customWidth="1" width="9.140625"/>
    <col min="5918" max="5918" customWidth="1" width="9.140625"/>
    <col min="5919" max="5919" customWidth="1" width="9.140625"/>
    <col min="5920" max="5920" customWidth="1" width="9.140625"/>
    <col min="5921" max="5921" customWidth="1" width="9.140625"/>
    <col min="5922" max="5922" customWidth="1" width="9.140625"/>
    <col min="5923" max="5923" customWidth="1" width="9.140625"/>
    <col min="5924" max="5924" customWidth="1" width="9.140625"/>
    <col min="5925" max="5925" customWidth="1" width="9.140625"/>
    <col min="5926" max="5926" customWidth="1" width="9.140625"/>
    <col min="5927" max="5927" customWidth="1" width="9.140625"/>
    <col min="5928" max="5928" customWidth="1" width="9.140625"/>
    <col min="5929" max="5929" customWidth="1" width="9.140625"/>
    <col min="5930" max="5930" customWidth="1" width="9.140625"/>
    <col min="5931" max="5931" customWidth="1" width="9.140625"/>
    <col min="5932" max="5932" customWidth="1" width="9.140625"/>
    <col min="5933" max="5933" customWidth="1" width="9.140625"/>
    <col min="5934" max="5934" customWidth="1" width="9.140625"/>
    <col min="5935" max="5935" customWidth="1" width="9.140625"/>
    <col min="5936" max="5936" customWidth="1" width="9.140625"/>
    <col min="5937" max="5937" customWidth="1" width="9.140625"/>
    <col min="5938" max="5938" customWidth="1" width="9.140625"/>
    <col min="5939" max="5939" customWidth="1" width="9.140625"/>
    <col min="5940" max="5940" customWidth="1" width="9.140625"/>
    <col min="5941" max="5941" customWidth="1" width="9.140625"/>
    <col min="5942" max="5942" customWidth="1" width="9.140625"/>
    <col min="5943" max="5943" customWidth="1" width="9.140625"/>
    <col min="5944" max="5944" customWidth="1" width="9.140625"/>
    <col min="5945" max="5945" customWidth="1" width="9.140625"/>
    <col min="5946" max="5946" customWidth="1" width="9.140625"/>
    <col min="5947" max="5947" customWidth="1" width="9.140625"/>
    <col min="5948" max="5948" customWidth="1" width="9.140625"/>
    <col min="5949" max="5949" customWidth="1" width="9.140625"/>
    <col min="5950" max="5950" customWidth="1" width="9.140625"/>
    <col min="5951" max="5951" customWidth="1" width="9.140625"/>
    <col min="5952" max="5952" customWidth="1" width="9.140625"/>
    <col min="5953" max="5953" customWidth="1" width="9.140625"/>
    <col min="5954" max="5954" customWidth="1" width="9.140625"/>
    <col min="5955" max="5955" customWidth="1" width="9.140625"/>
    <col min="5956" max="5956" customWidth="1" width="9.140625"/>
    <col min="5957" max="5957" customWidth="1" width="9.140625"/>
    <col min="5958" max="5958" customWidth="1" width="9.140625"/>
    <col min="5959" max="5959" customWidth="1" width="9.140625"/>
    <col min="5960" max="5960" customWidth="1" width="9.140625"/>
    <col min="5961" max="5961" customWidth="1" width="9.140625"/>
    <col min="5962" max="5962" customWidth="1" width="9.140625"/>
    <col min="5963" max="5963" customWidth="1" width="9.140625"/>
    <col min="5964" max="5964" customWidth="1" width="9.140625"/>
    <col min="5965" max="5965" customWidth="1" width="9.140625"/>
    <col min="5966" max="5966" customWidth="1" width="9.140625"/>
    <col min="5967" max="5967" customWidth="1" width="9.140625"/>
    <col min="5968" max="5968" customWidth="1" width="9.140625"/>
    <col min="5969" max="5969" customWidth="1" width="9.140625"/>
    <col min="5970" max="5970" customWidth="1" width="9.140625"/>
    <col min="5971" max="5971" customWidth="1" width="9.140625"/>
    <col min="5972" max="5972" customWidth="1" width="9.140625"/>
    <col min="5973" max="5973" customWidth="1" width="9.140625"/>
    <col min="5974" max="5974" customWidth="1" width="9.140625"/>
    <col min="5975" max="5975" customWidth="1" width="9.140625"/>
    <col min="5976" max="5976" customWidth="1" width="9.140625"/>
    <col min="5977" max="5977" customWidth="1" width="9.140625"/>
    <col min="5978" max="5978" customWidth="1" width="9.140625"/>
    <col min="5979" max="5979" customWidth="1" width="9.140625"/>
    <col min="5980" max="5980" customWidth="1" width="9.140625"/>
    <col min="5981" max="5981" customWidth="1" width="9.140625"/>
    <col min="5982" max="5982" customWidth="1" width="9.140625"/>
    <col min="5983" max="5983" customWidth="1" width="9.140625"/>
    <col min="5984" max="5984" customWidth="1" width="9.140625"/>
    <col min="5985" max="5985" customWidth="1" width="9.140625"/>
    <col min="5986" max="5986" customWidth="1" width="9.140625"/>
    <col min="5987" max="5987" customWidth="1" width="9.140625"/>
    <col min="5988" max="5988" customWidth="1" width="9.140625"/>
    <col min="5989" max="5989" customWidth="1" width="9.140625"/>
    <col min="5990" max="5990" customWidth="1" width="9.140625"/>
    <col min="5991" max="5991" customWidth="1" width="9.140625"/>
    <col min="5992" max="5992" customWidth="1" width="9.140625"/>
    <col min="5993" max="5993" customWidth="1" width="9.140625"/>
    <col min="5994" max="5994" customWidth="1" width="9.140625"/>
    <col min="5995" max="5995" customWidth="1" width="9.140625"/>
    <col min="5996" max="5996" customWidth="1" width="9.140625"/>
    <col min="5997" max="5997" customWidth="1" width="9.140625"/>
    <col min="5998" max="5998" customWidth="1" width="9.140625"/>
    <col min="5999" max="5999" customWidth="1" width="9.140625"/>
    <col min="6000" max="6000" customWidth="1" width="9.140625"/>
    <col min="6001" max="6001" customWidth="1" width="9.140625"/>
    <col min="6002" max="6002" customWidth="1" width="9.140625"/>
    <col min="6003" max="6003" customWidth="1" width="9.140625"/>
    <col min="6004" max="6004" customWidth="1" width="9.140625"/>
    <col min="6005" max="6005" customWidth="1" width="9.140625"/>
    <col min="6006" max="6006" customWidth="1" width="9.140625"/>
    <col min="6007" max="6007" customWidth="1" width="9.140625"/>
    <col min="6008" max="6008" customWidth="1" width="9.140625"/>
    <col min="6009" max="6009" customWidth="1" width="9.140625"/>
    <col min="6010" max="6010" customWidth="1" width="9.140625"/>
    <col min="6011" max="6011" customWidth="1" width="9.140625"/>
    <col min="6012" max="6012" customWidth="1" width="9.140625"/>
    <col min="6013" max="6013" customWidth="1" width="9.140625"/>
    <col min="6014" max="6014" customWidth="1" width="9.140625"/>
    <col min="6015" max="6015" customWidth="1" width="9.140625"/>
    <col min="6016" max="6016" customWidth="1" width="9.140625"/>
    <col min="6017" max="6017" customWidth="1" width="9.140625"/>
    <col min="6018" max="6018" customWidth="1" width="9.140625"/>
    <col min="6019" max="6019" customWidth="1" width="9.140625"/>
    <col min="6020" max="6020" customWidth="1" width="9.140625"/>
    <col min="6021" max="6021" customWidth="1" width="9.140625"/>
    <col min="6022" max="6022" customWidth="1" width="9.140625"/>
    <col min="6023" max="6023" customWidth="1" width="9.140625"/>
    <col min="6024" max="6024" customWidth="1" width="9.140625"/>
    <col min="6025" max="6025" customWidth="1" width="9.140625"/>
    <col min="6026" max="6026" customWidth="1" width="9.140625"/>
    <col min="6027" max="6027" customWidth="1" width="9.140625"/>
    <col min="6028" max="6028" customWidth="1" width="9.140625"/>
    <col min="6029" max="6029" customWidth="1" width="9.140625"/>
    <col min="6030" max="6030" customWidth="1" width="9.140625"/>
    <col min="6031" max="6031" customWidth="1" width="9.140625"/>
    <col min="6032" max="6032" customWidth="1" width="9.140625"/>
    <col min="6033" max="6033" customWidth="1" width="9.140625"/>
    <col min="6034" max="6034" customWidth="1" width="9.140625"/>
    <col min="6035" max="6035" customWidth="1" width="9.140625"/>
    <col min="6036" max="6036" customWidth="1" width="9.140625"/>
    <col min="6037" max="6037" customWidth="1" width="9.140625"/>
    <col min="6038" max="6038" customWidth="1" width="9.140625"/>
    <col min="6039" max="6039" customWidth="1" width="9.140625"/>
    <col min="6040" max="6040" customWidth="1" width="9.140625"/>
    <col min="6041" max="6041" customWidth="1" width="9.140625"/>
    <col min="6042" max="6042" customWidth="1" width="9.140625"/>
    <col min="6043" max="6043" customWidth="1" width="9.140625"/>
    <col min="6044" max="6044" customWidth="1" width="9.140625"/>
    <col min="6045" max="6045" customWidth="1" width="9.140625"/>
    <col min="6046" max="6046" customWidth="1" width="9.140625"/>
    <col min="6047" max="6047" customWidth="1" width="9.140625"/>
    <col min="6048" max="6048" customWidth="1" width="9.140625"/>
    <col min="6049" max="6049" customWidth="1" width="9.140625"/>
    <col min="6050" max="6050" customWidth="1" width="9.140625"/>
    <col min="6051" max="6051" customWidth="1" width="9.140625"/>
    <col min="6052" max="6052" customWidth="1" width="9.140625"/>
    <col min="6053" max="6053" customWidth="1" width="9.140625"/>
    <col min="6054" max="6054" customWidth="1" width="9.140625"/>
    <col min="6055" max="6055" customWidth="1" width="9.140625"/>
    <col min="6056" max="6056" customWidth="1" width="9.140625"/>
    <col min="6057" max="6057" customWidth="1" width="9.140625"/>
    <col min="6058" max="6058" customWidth="1" width="9.140625"/>
    <col min="6059" max="6059" customWidth="1" width="9.140625"/>
    <col min="6060" max="6060" customWidth="1" width="9.140625"/>
    <col min="6061" max="6061" customWidth="1" width="9.140625"/>
    <col min="6062" max="6062" customWidth="1" width="9.140625"/>
    <col min="6063" max="6063" customWidth="1" width="9.140625"/>
    <col min="6064" max="6064" customWidth="1" width="9.140625"/>
    <col min="6065" max="6065" customWidth="1" width="9.140625"/>
    <col min="6066" max="6066" customWidth="1" width="9.140625"/>
    <col min="6067" max="6067" customWidth="1" width="9.140625"/>
    <col min="6068" max="6068" customWidth="1" width="9.140625"/>
    <col min="6069" max="6069" customWidth="1" width="9.140625"/>
    <col min="6070" max="6070" customWidth="1" width="9.140625"/>
    <col min="6071" max="6071" customWidth="1" width="9.140625"/>
    <col min="6072" max="6072" customWidth="1" width="9.140625"/>
    <col min="6073" max="6073" customWidth="1" width="9.140625"/>
    <col min="6074" max="6074" customWidth="1" width="9.140625"/>
    <col min="6075" max="6075" customWidth="1" width="9.140625"/>
    <col min="6076" max="6076" customWidth="1" width="9.140625"/>
    <col min="6077" max="6077" customWidth="1" width="9.140625"/>
    <col min="6078" max="6078" customWidth="1" width="9.140625"/>
    <col min="6079" max="6079" customWidth="1" width="9.140625"/>
    <col min="6080" max="6080" customWidth="1" width="9.140625"/>
    <col min="6081" max="6081" customWidth="1" width="9.140625"/>
    <col min="6082" max="6082" customWidth="1" width="9.140625"/>
    <col min="6083" max="6083" customWidth="1" width="9.140625"/>
    <col min="6084" max="6084" customWidth="1" width="9.140625"/>
    <col min="6085" max="6085" customWidth="1" width="9.140625"/>
    <col min="6086" max="6086" customWidth="1" width="9.140625"/>
    <col min="6087" max="6087" customWidth="1" width="9.140625"/>
    <col min="6088" max="6088" customWidth="1" width="9.140625"/>
    <col min="6089" max="6089" customWidth="1" width="9.140625"/>
    <col min="6090" max="6090" customWidth="1" width="9.140625"/>
    <col min="6091" max="6091" customWidth="1" width="9.140625"/>
    <col min="6092" max="6092" customWidth="1" width="9.140625"/>
    <col min="6093" max="6093" customWidth="1" width="9.140625"/>
    <col min="6094" max="6094" customWidth="1" width="9.140625"/>
    <col min="6095" max="6095" customWidth="1" width="9.140625"/>
    <col min="6096" max="6096" customWidth="1" width="9.140625"/>
    <col min="6097" max="6097" customWidth="1" width="9.140625"/>
    <col min="6098" max="6098" customWidth="1" width="9.140625"/>
    <col min="6099" max="6099" customWidth="1" width="9.140625"/>
    <col min="6100" max="6100" customWidth="1" width="9.140625"/>
    <col min="6101" max="6101" customWidth="1" width="9.140625"/>
    <col min="6102" max="6102" customWidth="1" width="9.140625"/>
    <col min="6103" max="6103" customWidth="1" width="9.140625"/>
    <col min="6104" max="6104" customWidth="1" width="9.140625"/>
    <col min="6105" max="6105" customWidth="1" width="9.140625"/>
    <col min="6106" max="6106" customWidth="1" width="9.140625"/>
    <col min="6107" max="6107" customWidth="1" width="9.140625"/>
    <col min="6108" max="6108" customWidth="1" width="9.140625"/>
    <col min="6109" max="6109" customWidth="1" width="9.140625"/>
    <col min="6110" max="6110" customWidth="1" width="9.140625"/>
    <col min="6111" max="6111" customWidth="1" width="9.140625"/>
    <col min="6112" max="6112" customWidth="1" width="9.140625"/>
    <col min="6113" max="6113" customWidth="1" width="9.140625"/>
    <col min="6114" max="6114" customWidth="1" width="9.140625"/>
    <col min="6115" max="6115" customWidth="1" width="9.140625"/>
    <col min="6116" max="6116" customWidth="1" width="9.140625"/>
    <col min="6117" max="6117" customWidth="1" width="9.140625"/>
    <col min="6118" max="6118" customWidth="1" width="9.140625"/>
    <col min="6119" max="6119" customWidth="1" width="9.140625"/>
    <col min="6120" max="6120" customWidth="1" width="9.140625"/>
    <col min="6121" max="6121" customWidth="1" width="9.140625"/>
    <col min="6122" max="6122" customWidth="1" width="9.140625"/>
    <col min="6123" max="6123" customWidth="1" width="9.140625"/>
    <col min="6124" max="6124" customWidth="1" width="9.140625"/>
    <col min="6125" max="6125" customWidth="1" width="9.140625"/>
    <col min="6126" max="6126" customWidth="1" width="9.140625"/>
    <col min="6127" max="6127" customWidth="1" width="9.140625"/>
    <col min="6128" max="6128" customWidth="1" width="9.140625"/>
    <col min="6129" max="6129" customWidth="1" width="9.140625"/>
    <col min="6130" max="6130" customWidth="1" width="9.140625"/>
    <col min="6131" max="6131" customWidth="1" width="9.140625"/>
    <col min="6132" max="6132" customWidth="1" width="9.140625"/>
    <col min="6133" max="6133" customWidth="1" width="9.140625"/>
    <col min="6134" max="6134" customWidth="1" width="9.140625"/>
    <col min="6135" max="6135" customWidth="1" width="9.140625"/>
    <col min="6136" max="6136" customWidth="1" width="9.140625"/>
    <col min="6137" max="6137" customWidth="1" width="9.140625"/>
    <col min="6138" max="6138" customWidth="1" width="9.140625"/>
    <col min="6139" max="6139" customWidth="1" width="9.140625"/>
    <col min="6140" max="6140" customWidth="1" width="9.140625"/>
    <col min="6141" max="6141" customWidth="1" width="9.140625"/>
    <col min="6142" max="6142" customWidth="1" width="9.140625"/>
    <col min="6143" max="6143" customWidth="1" width="9.140625"/>
    <col min="6144" max="6144" customWidth="1" width="9.140625"/>
    <col min="6145" max="6145" customWidth="1" width="9.140625"/>
    <col min="6146" max="6146" customWidth="1" width="9.140625"/>
    <col min="6147" max="6147" customWidth="1" width="9.140625"/>
    <col min="6148" max="6148" customWidth="1" width="9.140625"/>
    <col min="6149" max="6149" customWidth="1" width="9.140625"/>
    <col min="6150" max="6150" customWidth="1" width="9.140625"/>
    <col min="6151" max="6151" customWidth="1" width="9.140625"/>
    <col min="6152" max="6152" customWidth="1" width="9.140625"/>
    <col min="6153" max="6153" customWidth="1" width="9.140625"/>
    <col min="6154" max="6154" customWidth="1" width="9.140625"/>
    <col min="6155" max="6155" customWidth="1" width="9.140625"/>
    <col min="6156" max="6156" customWidth="1" width="9.140625"/>
    <col min="6157" max="6157" customWidth="1" width="9.140625"/>
    <col min="6158" max="6158" customWidth="1" width="9.140625"/>
    <col min="6159" max="6159" customWidth="1" width="9.140625"/>
    <col min="6160" max="6160" customWidth="1" width="9.140625"/>
    <col min="6161" max="6161" customWidth="1" width="9.140625"/>
    <col min="6162" max="6162" customWidth="1" width="9.140625"/>
    <col min="6163" max="6163" customWidth="1" width="9.140625"/>
    <col min="6164" max="6164" customWidth="1" width="9.140625"/>
    <col min="6165" max="6165" customWidth="1" width="9.140625"/>
    <col min="6166" max="6166" customWidth="1" width="9.140625"/>
    <col min="6167" max="6167" customWidth="1" width="9.140625"/>
    <col min="6168" max="6168" customWidth="1" width="9.140625"/>
    <col min="6169" max="6169" customWidth="1" width="9.140625"/>
    <col min="6170" max="6170" customWidth="1" width="9.140625"/>
    <col min="6171" max="6171" customWidth="1" width="9.140625"/>
    <col min="6172" max="6172" customWidth="1" width="9.140625"/>
    <col min="6173" max="6173" customWidth="1" width="9.140625"/>
    <col min="6174" max="6174" customWidth="1" width="9.140625"/>
    <col min="6175" max="6175" customWidth="1" width="9.140625"/>
    <col min="6176" max="6176" customWidth="1" width="9.140625"/>
    <col min="6177" max="6177" customWidth="1" width="9.140625"/>
    <col min="6178" max="6178" customWidth="1" width="9.140625"/>
    <col min="6179" max="6179" customWidth="1" width="9.140625"/>
    <col min="6180" max="6180" customWidth="1" width="9.140625"/>
    <col min="6181" max="6181" customWidth="1" width="9.140625"/>
    <col min="6182" max="6182" customWidth="1" width="9.140625"/>
    <col min="6183" max="6183" customWidth="1" width="9.140625"/>
    <col min="6184" max="6184" customWidth="1" width="9.140625"/>
    <col min="6185" max="6185" customWidth="1" width="9.140625"/>
    <col min="6186" max="6186" customWidth="1" width="9.140625"/>
    <col min="6187" max="6187" customWidth="1" width="9.140625"/>
    <col min="6188" max="6188" customWidth="1" width="9.140625"/>
    <col min="6189" max="6189" customWidth="1" width="9.140625"/>
    <col min="6190" max="6190" customWidth="1" width="9.140625"/>
    <col min="6191" max="6191" customWidth="1" width="9.140625"/>
    <col min="6192" max="6192" customWidth="1" width="9.140625"/>
    <col min="6193" max="6193" customWidth="1" width="9.140625"/>
    <col min="6194" max="6194" customWidth="1" width="9.140625"/>
    <col min="6195" max="6195" customWidth="1" width="9.140625"/>
    <col min="6196" max="6196" customWidth="1" width="9.140625"/>
    <col min="6197" max="6197" customWidth="1" width="9.140625"/>
    <col min="6198" max="6198" customWidth="1" width="9.140625"/>
    <col min="6199" max="6199" customWidth="1" width="9.140625"/>
    <col min="6200" max="6200" customWidth="1" width="9.140625"/>
    <col min="6201" max="6201" customWidth="1" width="9.140625"/>
    <col min="6202" max="6202" customWidth="1" width="9.140625"/>
    <col min="6203" max="6203" customWidth="1" width="9.140625"/>
    <col min="6204" max="6204" customWidth="1" width="9.140625"/>
    <col min="6205" max="6205" customWidth="1" width="9.140625"/>
    <col min="6206" max="6206" customWidth="1" width="9.140625"/>
    <col min="6207" max="6207" customWidth="1" width="9.140625"/>
    <col min="6208" max="6208" customWidth="1" width="9.140625"/>
    <col min="6209" max="6209" customWidth="1" width="9.140625"/>
    <col min="6210" max="6210" customWidth="1" width="9.140625"/>
    <col min="6211" max="6211" customWidth="1" width="9.140625"/>
    <col min="6212" max="6212" customWidth="1" width="9.140625"/>
    <col min="6213" max="6213" customWidth="1" width="9.140625"/>
    <col min="6214" max="6214" customWidth="1" width="9.140625"/>
    <col min="6215" max="6215" customWidth="1" width="9.140625"/>
    <col min="6216" max="6216" customWidth="1" width="9.140625"/>
    <col min="6217" max="6217" customWidth="1" width="9.140625"/>
    <col min="6218" max="6218" customWidth="1" width="9.140625"/>
    <col min="6219" max="6219" customWidth="1" width="9.140625"/>
    <col min="6220" max="6220" customWidth="1" width="9.140625"/>
    <col min="6221" max="6221" customWidth="1" width="9.140625"/>
    <col min="6222" max="6222" customWidth="1" width="9.140625"/>
    <col min="6223" max="6223" customWidth="1" width="9.140625"/>
    <col min="6224" max="6224" customWidth="1" width="9.140625"/>
    <col min="6225" max="6225" customWidth="1" width="9.140625"/>
    <col min="6226" max="6226" customWidth="1" width="9.140625"/>
    <col min="6227" max="6227" customWidth="1" width="9.140625"/>
    <col min="6228" max="6228" customWidth="1" width="9.140625"/>
    <col min="6229" max="6229" customWidth="1" width="9.140625"/>
    <col min="6230" max="6230" customWidth="1" width="9.140625"/>
    <col min="6231" max="6231" customWidth="1" width="9.140625"/>
    <col min="6232" max="6232" customWidth="1" width="9.140625"/>
    <col min="6233" max="6233" customWidth="1" width="9.140625"/>
    <col min="6234" max="6234" customWidth="1" width="9.140625"/>
    <col min="6235" max="6235" customWidth="1" width="9.140625"/>
    <col min="6236" max="6236" customWidth="1" width="9.140625"/>
    <col min="6237" max="6237" customWidth="1" width="9.140625"/>
    <col min="6238" max="6238" customWidth="1" width="9.140625"/>
    <col min="6239" max="6239" customWidth="1" width="9.140625"/>
    <col min="6240" max="6240" customWidth="1" width="9.140625"/>
    <col min="6241" max="6241" customWidth="1" width="9.140625"/>
    <col min="6242" max="6242" customWidth="1" width="9.140625"/>
    <col min="6243" max="6243" customWidth="1" width="9.140625"/>
    <col min="6244" max="6244" customWidth="1" width="9.140625"/>
    <col min="6245" max="6245" customWidth="1" width="9.140625"/>
    <col min="6246" max="6246" customWidth="1" width="9.140625"/>
    <col min="6247" max="6247" customWidth="1" width="9.140625"/>
    <col min="6248" max="6248" customWidth="1" width="9.140625"/>
    <col min="6249" max="6249" customWidth="1" width="9.140625"/>
    <col min="6250" max="6250" customWidth="1" width="9.140625"/>
    <col min="6251" max="6251" customWidth="1" width="9.140625"/>
    <col min="6252" max="6252" customWidth="1" width="9.140625"/>
    <col min="6253" max="6253" customWidth="1" width="9.140625"/>
    <col min="6254" max="6254" customWidth="1" width="9.140625"/>
    <col min="6255" max="6255" customWidth="1" width="9.140625"/>
    <col min="6256" max="6256" customWidth="1" width="9.140625"/>
    <col min="6257" max="6257" customWidth="1" width="9.140625"/>
    <col min="6258" max="6258" customWidth="1" width="9.140625"/>
    <col min="6259" max="6259" customWidth="1" width="9.140625"/>
    <col min="6260" max="6260" customWidth="1" width="9.140625"/>
    <col min="6261" max="6261" customWidth="1" width="9.140625"/>
    <col min="6262" max="6262" customWidth="1" width="9.140625"/>
    <col min="6263" max="6263" customWidth="1" width="9.140625"/>
    <col min="6264" max="6264" customWidth="1" width="9.140625"/>
    <col min="6265" max="6265" customWidth="1" width="9.140625"/>
    <col min="6266" max="6266" customWidth="1" width="9.140625"/>
    <col min="6267" max="6267" customWidth="1" width="9.140625"/>
    <col min="6268" max="6268" customWidth="1" width="9.140625"/>
    <col min="6269" max="6269" customWidth="1" width="9.140625"/>
    <col min="6270" max="6270" customWidth="1" width="9.140625"/>
    <col min="6271" max="6271" customWidth="1" width="9.140625"/>
    <col min="6272" max="6272" customWidth="1" width="9.140625"/>
    <col min="6273" max="6273" customWidth="1" width="9.140625"/>
    <col min="6274" max="6274" customWidth="1" width="9.140625"/>
    <col min="6275" max="6275" customWidth="1" width="9.140625"/>
    <col min="6276" max="6276" customWidth="1" width="9.140625"/>
    <col min="6277" max="6277" customWidth="1" width="9.140625"/>
    <col min="6278" max="6278" customWidth="1" width="9.140625"/>
    <col min="6279" max="6279" customWidth="1" width="9.140625"/>
    <col min="6280" max="6280" customWidth="1" width="9.140625"/>
    <col min="6281" max="6281" customWidth="1" width="9.140625"/>
    <col min="6282" max="6282" customWidth="1" width="9.140625"/>
    <col min="6283" max="6283" customWidth="1" width="9.140625"/>
    <col min="6284" max="6284" customWidth="1" width="9.140625"/>
    <col min="6285" max="6285" customWidth="1" width="9.140625"/>
    <col min="6286" max="6286" customWidth="1" width="9.140625"/>
    <col min="6287" max="6287" customWidth="1" width="9.140625"/>
    <col min="6288" max="6288" customWidth="1" width="9.140625"/>
    <col min="6289" max="6289" customWidth="1" width="9.140625"/>
    <col min="6290" max="6290" customWidth="1" width="9.140625"/>
    <col min="6291" max="6291" customWidth="1" width="9.140625"/>
    <col min="6292" max="6292" customWidth="1" width="9.140625"/>
    <col min="6293" max="6293" customWidth="1" width="9.140625"/>
    <col min="6294" max="6294" customWidth="1" width="9.140625"/>
    <col min="6295" max="6295" customWidth="1" width="9.140625"/>
    <col min="6296" max="6296" customWidth="1" width="9.140625"/>
    <col min="6297" max="6297" customWidth="1" width="9.140625"/>
    <col min="6298" max="6298" customWidth="1" width="9.140625"/>
    <col min="6299" max="6299" customWidth="1" width="9.140625"/>
    <col min="6300" max="6300" customWidth="1" width="9.140625"/>
    <col min="6301" max="6301" customWidth="1" width="9.140625"/>
    <col min="6302" max="6302" customWidth="1" width="9.140625"/>
    <col min="6303" max="6303" customWidth="1" width="9.140625"/>
    <col min="6304" max="6304" customWidth="1" width="9.140625"/>
    <col min="6305" max="6305" customWidth="1" width="9.140625"/>
    <col min="6306" max="6306" customWidth="1" width="9.140625"/>
    <col min="6307" max="6307" customWidth="1" width="9.140625"/>
    <col min="6308" max="6308" customWidth="1" width="9.140625"/>
    <col min="6309" max="6309" customWidth="1" width="9.140625"/>
    <col min="6310" max="6310" customWidth="1" width="9.140625"/>
    <col min="6311" max="6311" customWidth="1" width="9.140625"/>
    <col min="6312" max="6312" customWidth="1" width="9.140625"/>
    <col min="6313" max="6313" customWidth="1" width="9.140625"/>
    <col min="6314" max="6314" customWidth="1" width="9.140625"/>
    <col min="6315" max="6315" customWidth="1" width="9.140625"/>
    <col min="6316" max="6316" customWidth="1" width="9.140625"/>
    <col min="6317" max="6317" customWidth="1" width="9.140625"/>
    <col min="6318" max="6318" customWidth="1" width="9.140625"/>
    <col min="6319" max="6319" customWidth="1" width="9.140625"/>
    <col min="6320" max="6320" customWidth="1" width="9.140625"/>
    <col min="6321" max="6321" customWidth="1" width="9.140625"/>
    <col min="6322" max="6322" customWidth="1" width="9.140625"/>
    <col min="6323" max="6323" customWidth="1" width="9.140625"/>
    <col min="6324" max="6324" customWidth="1" width="9.140625"/>
    <col min="6325" max="6325" customWidth="1" width="9.140625"/>
    <col min="6326" max="6326" customWidth="1" width="9.140625"/>
    <col min="6327" max="6327" customWidth="1" width="9.140625"/>
    <col min="6328" max="6328" customWidth="1" width="9.140625"/>
    <col min="6329" max="6329" customWidth="1" width="9.140625"/>
    <col min="6330" max="6330" customWidth="1" width="9.140625"/>
    <col min="6331" max="6331" customWidth="1" width="9.140625"/>
    <col min="6332" max="6332" customWidth="1" width="9.140625"/>
    <col min="6333" max="6333" customWidth="1" width="9.140625"/>
    <col min="6334" max="6334" customWidth="1" width="9.140625"/>
    <col min="6335" max="6335" customWidth="1" width="9.140625"/>
    <col min="6336" max="6336" customWidth="1" width="9.140625"/>
    <col min="6337" max="6337" customWidth="1" width="9.140625"/>
    <col min="6338" max="6338" customWidth="1" width="9.140625"/>
    <col min="6339" max="6339" customWidth="1" width="9.140625"/>
    <col min="6340" max="6340" customWidth="1" width="9.140625"/>
    <col min="6341" max="6341" customWidth="1" width="9.140625"/>
    <col min="6342" max="6342" customWidth="1" width="9.140625"/>
    <col min="6343" max="6343" customWidth="1" width="9.140625"/>
    <col min="6344" max="6344" customWidth="1" width="9.140625"/>
    <col min="6345" max="6345" customWidth="1" width="9.140625"/>
    <col min="6346" max="6346" customWidth="1" width="9.140625"/>
    <col min="6347" max="6347" customWidth="1" width="9.140625"/>
    <col min="6348" max="6348" customWidth="1" width="9.140625"/>
    <col min="6349" max="6349" customWidth="1" width="9.140625"/>
    <col min="6350" max="6350" customWidth="1" width="9.140625"/>
    <col min="6351" max="6351" customWidth="1" width="9.140625"/>
    <col min="6352" max="6352" customWidth="1" width="9.140625"/>
    <col min="6353" max="6353" customWidth="1" width="9.140625"/>
    <col min="6354" max="6354" customWidth="1" width="9.140625"/>
    <col min="6355" max="6355" customWidth="1" width="9.140625"/>
    <col min="6356" max="6356" customWidth="1" width="9.140625"/>
    <col min="6357" max="6357" customWidth="1" width="9.140625"/>
    <col min="6358" max="6358" customWidth="1" width="9.140625"/>
    <col min="6359" max="6359" customWidth="1" width="9.140625"/>
    <col min="6360" max="6360" customWidth="1" width="9.140625"/>
    <col min="6361" max="6361" customWidth="1" width="9.140625"/>
    <col min="6362" max="6362" customWidth="1" width="9.140625"/>
    <col min="6363" max="6363" customWidth="1" width="9.140625"/>
    <col min="6364" max="6364" customWidth="1" width="9.140625"/>
    <col min="6365" max="6365" customWidth="1" width="9.140625"/>
    <col min="6366" max="6366" customWidth="1" width="9.140625"/>
    <col min="6367" max="6367" customWidth="1" width="9.140625"/>
    <col min="6368" max="6368" customWidth="1" width="9.140625"/>
    <col min="6369" max="6369" customWidth="1" width="9.140625"/>
    <col min="6370" max="6370" customWidth="1" width="9.140625"/>
    <col min="6371" max="6371" customWidth="1" width="9.140625"/>
    <col min="6372" max="6372" customWidth="1" width="9.140625"/>
    <col min="6373" max="6373" customWidth="1" width="9.140625"/>
    <col min="6374" max="6374" customWidth="1" width="9.140625"/>
    <col min="6375" max="6375" customWidth="1" width="9.140625"/>
    <col min="6376" max="6376" customWidth="1" width="9.140625"/>
    <col min="6377" max="6377" customWidth="1" width="9.140625"/>
    <col min="6378" max="6378" customWidth="1" width="9.140625"/>
    <col min="6379" max="6379" customWidth="1" width="9.140625"/>
    <col min="6380" max="6380" customWidth="1" width="9.140625"/>
    <col min="6381" max="6381" customWidth="1" width="9.140625"/>
    <col min="6382" max="6382" customWidth="1" width="9.140625"/>
    <col min="6383" max="6383" customWidth="1" width="9.140625"/>
    <col min="6384" max="6384" customWidth="1" width="9.140625"/>
    <col min="6385" max="6385" customWidth="1" width="9.140625"/>
    <col min="6386" max="6386" customWidth="1" width="9.140625"/>
    <col min="6387" max="6387" customWidth="1" width="9.140625"/>
    <col min="6388" max="6388" customWidth="1" width="9.140625"/>
    <col min="6389" max="6389" customWidth="1" width="9.140625"/>
    <col min="6390" max="6390" customWidth="1" width="9.140625"/>
    <col min="6391" max="6391" customWidth="1" width="9.140625"/>
    <col min="6392" max="6392" customWidth="1" width="9.140625"/>
    <col min="6393" max="6393" customWidth="1" width="9.140625"/>
    <col min="6394" max="6394" customWidth="1" width="9.140625"/>
    <col min="6395" max="6395" customWidth="1" width="9.140625"/>
    <col min="6396" max="6396" customWidth="1" width="9.140625"/>
    <col min="6397" max="6397" customWidth="1" width="9.140625"/>
    <col min="6398" max="6398" customWidth="1" width="9.140625"/>
    <col min="6399" max="6399" customWidth="1" width="9.140625"/>
    <col min="6400" max="6400" customWidth="1" width="9.140625"/>
    <col min="6401" max="6401" customWidth="1" width="9.140625"/>
    <col min="6402" max="6402" customWidth="1" width="9.140625"/>
    <col min="6403" max="6403" customWidth="1" width="9.140625"/>
    <col min="6404" max="6404" customWidth="1" width="9.140625"/>
    <col min="6405" max="6405" customWidth="1" width="9.140625"/>
    <col min="6406" max="6406" customWidth="1" width="9.140625"/>
    <col min="6407" max="6407" customWidth="1" width="9.140625"/>
    <col min="6408" max="6408" customWidth="1" width="9.140625"/>
    <col min="6409" max="6409" customWidth="1" width="9.140625"/>
    <col min="6410" max="6410" customWidth="1" width="9.140625"/>
    <col min="6411" max="6411" customWidth="1" width="9.140625"/>
    <col min="6412" max="6412" customWidth="1" width="9.140625"/>
    <col min="6413" max="6413" customWidth="1" width="9.140625"/>
    <col min="6414" max="6414" customWidth="1" width="9.140625"/>
    <col min="6415" max="6415" customWidth="1" width="9.140625"/>
    <col min="6416" max="6416" customWidth="1" width="9.140625"/>
    <col min="6417" max="6417" customWidth="1" width="9.140625"/>
    <col min="6418" max="6418" customWidth="1" width="9.140625"/>
    <col min="6419" max="6419" customWidth="1" width="9.140625"/>
    <col min="6420" max="6420" customWidth="1" width="9.140625"/>
    <col min="6421" max="6421" customWidth="1" width="9.140625"/>
    <col min="6422" max="6422" customWidth="1" width="9.140625"/>
    <col min="6423" max="6423" customWidth="1" width="9.140625"/>
    <col min="6424" max="6424" customWidth="1" width="9.140625"/>
    <col min="6425" max="6425" customWidth="1" width="9.140625"/>
    <col min="6426" max="6426" customWidth="1" width="9.140625"/>
    <col min="6427" max="6427" customWidth="1" width="9.140625"/>
    <col min="6428" max="6428" customWidth="1" width="9.140625"/>
    <col min="6429" max="6429" customWidth="1" width="9.140625"/>
    <col min="6430" max="6430" customWidth="1" width="9.140625"/>
    <col min="6431" max="6431" customWidth="1" width="9.140625"/>
    <col min="6432" max="6432" customWidth="1" width="9.140625"/>
    <col min="6433" max="6433" customWidth="1" width="9.140625"/>
    <col min="6434" max="6434" customWidth="1" width="9.140625"/>
    <col min="6435" max="6435" customWidth="1" width="9.140625"/>
    <col min="6436" max="6436" customWidth="1" width="9.140625"/>
    <col min="6437" max="6437" customWidth="1" width="9.140625"/>
    <col min="6438" max="6438" customWidth="1" width="9.140625"/>
    <col min="6439" max="6439" customWidth="1" width="9.140625"/>
    <col min="6440" max="6440" customWidth="1" width="9.140625"/>
    <col min="6441" max="6441" customWidth="1" width="9.140625"/>
    <col min="6442" max="6442" customWidth="1" width="9.140625"/>
    <col min="6443" max="6443" customWidth="1" width="9.140625"/>
    <col min="6444" max="6444" customWidth="1" width="9.140625"/>
    <col min="6445" max="6445" customWidth="1" width="9.140625"/>
    <col min="6446" max="6446" customWidth="1" width="9.140625"/>
    <col min="6447" max="6447" customWidth="1" width="9.140625"/>
    <col min="6448" max="6448" customWidth="1" width="9.140625"/>
    <col min="6449" max="6449" customWidth="1" width="9.140625"/>
    <col min="6450" max="6450" customWidth="1" width="9.140625"/>
    <col min="6451" max="6451" customWidth="1" width="9.140625"/>
    <col min="6452" max="6452" customWidth="1" width="9.140625"/>
    <col min="6453" max="6453" customWidth="1" width="9.140625"/>
    <col min="6454" max="6454" customWidth="1" width="9.140625"/>
    <col min="6455" max="6455" customWidth="1" width="9.140625"/>
    <col min="6456" max="6456" customWidth="1" width="9.140625"/>
    <col min="6457" max="6457" customWidth="1" width="9.140625"/>
    <col min="6458" max="6458" customWidth="1" width="9.140625"/>
    <col min="6459" max="6459" customWidth="1" width="9.140625"/>
    <col min="6460" max="6460" customWidth="1" width="9.140625"/>
    <col min="6461" max="6461" customWidth="1" width="9.140625"/>
    <col min="6462" max="6462" customWidth="1" width="9.140625"/>
    <col min="6463" max="6463" customWidth="1" width="9.140625"/>
    <col min="6464" max="6464" customWidth="1" width="9.140625"/>
    <col min="6465" max="6465" customWidth="1" width="9.140625"/>
    <col min="6466" max="6466" customWidth="1" width="9.140625"/>
    <col min="6467" max="6467" customWidth="1" width="9.140625"/>
    <col min="6468" max="6468" customWidth="1" width="9.140625"/>
    <col min="6469" max="6469" customWidth="1" width="9.140625"/>
    <col min="6470" max="6470" customWidth="1" width="9.140625"/>
    <col min="6471" max="6471" customWidth="1" width="9.140625"/>
    <col min="6472" max="6472" customWidth="1" width="9.140625"/>
    <col min="6473" max="6473" customWidth="1" width="9.140625"/>
    <col min="6474" max="6474" customWidth="1" width="9.140625"/>
    <col min="6475" max="6475" customWidth="1" width="9.140625"/>
    <col min="6476" max="6476" customWidth="1" width="9.140625"/>
    <col min="6477" max="6477" customWidth="1" width="9.140625"/>
    <col min="6478" max="6478" customWidth="1" width="9.140625"/>
    <col min="6479" max="6479" customWidth="1" width="9.140625"/>
    <col min="6480" max="6480" customWidth="1" width="9.140625"/>
    <col min="6481" max="6481" customWidth="1" width="9.140625"/>
    <col min="6482" max="6482" customWidth="1" width="9.140625"/>
    <col min="6483" max="6483" customWidth="1" width="9.140625"/>
    <col min="6484" max="6484" customWidth="1" width="9.140625"/>
    <col min="6485" max="6485" customWidth="1" width="9.140625"/>
    <col min="6486" max="6486" customWidth="1" width="9.140625"/>
    <col min="6487" max="6487" customWidth="1" width="9.140625"/>
    <col min="6488" max="6488" customWidth="1" width="9.140625"/>
    <col min="6489" max="6489" customWidth="1" width="9.140625"/>
    <col min="6490" max="6490" customWidth="1" width="9.140625"/>
    <col min="6491" max="6491" customWidth="1" width="9.140625"/>
    <col min="6492" max="6492" customWidth="1" width="9.140625"/>
    <col min="6493" max="6493" customWidth="1" width="9.140625"/>
    <col min="6494" max="6494" customWidth="1" width="9.140625"/>
    <col min="6495" max="6495" customWidth="1" width="9.140625"/>
    <col min="6496" max="6496" customWidth="1" width="9.140625"/>
    <col min="6497" max="6497" customWidth="1" width="9.140625"/>
    <col min="6498" max="6498" customWidth="1" width="9.140625"/>
    <col min="6499" max="6499" customWidth="1" width="9.140625"/>
    <col min="6500" max="6500" customWidth="1" width="9.140625"/>
    <col min="6501" max="6501" customWidth="1" width="9.140625"/>
    <col min="6502" max="6502" customWidth="1" width="9.140625"/>
    <col min="6503" max="6503" customWidth="1" width="9.140625"/>
    <col min="6504" max="6504" customWidth="1" width="9.140625"/>
    <col min="6505" max="6505" customWidth="1" width="9.140625"/>
    <col min="6506" max="6506" customWidth="1" width="9.140625"/>
    <col min="6507" max="6507" customWidth="1" width="9.140625"/>
    <col min="6508" max="6508" customWidth="1" width="9.140625"/>
    <col min="6509" max="6509" customWidth="1" width="9.140625"/>
    <col min="6510" max="6510" customWidth="1" width="9.140625"/>
    <col min="6511" max="6511" customWidth="1" width="9.140625"/>
    <col min="6512" max="6512" customWidth="1" width="9.140625"/>
    <col min="6513" max="6513" customWidth="1" width="9.140625"/>
    <col min="6514" max="6514" customWidth="1" width="9.140625"/>
    <col min="6515" max="6515" customWidth="1" width="9.140625"/>
    <col min="6516" max="6516" customWidth="1" width="9.140625"/>
    <col min="6517" max="6517" customWidth="1" width="9.140625"/>
    <col min="6518" max="6518" customWidth="1" width="9.140625"/>
    <col min="6519" max="6519" customWidth="1" width="9.140625"/>
    <col min="6520" max="6520" customWidth="1" width="9.140625"/>
    <col min="6521" max="6521" customWidth="1" width="9.140625"/>
    <col min="6522" max="6522" customWidth="1" width="9.140625"/>
    <col min="6523" max="6523" customWidth="1" width="9.140625"/>
    <col min="6524" max="6524" customWidth="1" width="9.140625"/>
    <col min="6525" max="6525" customWidth="1" width="9.140625"/>
    <col min="6526" max="6526" customWidth="1" width="9.140625"/>
    <col min="6527" max="6527" customWidth="1" width="9.140625"/>
    <col min="6528" max="6528" customWidth="1" width="9.140625"/>
    <col min="6529" max="6529" customWidth="1" width="9.140625"/>
    <col min="6530" max="6530" customWidth="1" width="9.140625"/>
    <col min="6531" max="6531" customWidth="1" width="9.140625"/>
    <col min="6532" max="6532" customWidth="1" width="9.140625"/>
    <col min="6533" max="6533" customWidth="1" width="9.140625"/>
    <col min="6534" max="6534" customWidth="1" width="9.140625"/>
    <col min="6535" max="6535" customWidth="1" width="9.140625"/>
    <col min="6536" max="6536" customWidth="1" width="9.140625"/>
    <col min="6537" max="6537" customWidth="1" width="9.140625"/>
    <col min="6538" max="6538" customWidth="1" width="9.140625"/>
    <col min="6539" max="6539" customWidth="1" width="9.140625"/>
    <col min="6540" max="6540" customWidth="1" width="9.140625"/>
    <col min="6541" max="6541" customWidth="1" width="9.140625"/>
    <col min="6542" max="6542" customWidth="1" width="9.140625"/>
    <col min="6543" max="6543" customWidth="1" width="9.140625"/>
    <col min="6544" max="6544" customWidth="1" width="9.140625"/>
    <col min="6545" max="6545" customWidth="1" width="9.140625"/>
    <col min="6546" max="6546" customWidth="1" width="9.140625"/>
    <col min="6547" max="6547" customWidth="1" width="9.140625"/>
    <col min="6548" max="6548" customWidth="1" width="9.140625"/>
    <col min="6549" max="6549" customWidth="1" width="9.140625"/>
    <col min="6550" max="6550" customWidth="1" width="9.140625"/>
    <col min="6551" max="6551" customWidth="1" width="9.140625"/>
    <col min="6552" max="6552" customWidth="1" width="9.140625"/>
    <col min="6553" max="6553" customWidth="1" width="9.140625"/>
    <col min="6554" max="6554" customWidth="1" width="9.140625"/>
    <col min="6555" max="6555" customWidth="1" width="9.140625"/>
    <col min="6556" max="6556" customWidth="1" width="9.140625"/>
    <col min="6557" max="6557" customWidth="1" width="9.140625"/>
    <col min="6558" max="6558" customWidth="1" width="9.140625"/>
    <col min="6559" max="6559" customWidth="1" width="9.140625"/>
    <col min="6560" max="6560" customWidth="1" width="9.140625"/>
    <col min="6561" max="6561" customWidth="1" width="9.140625"/>
    <col min="6562" max="6562" customWidth="1" width="9.140625"/>
    <col min="6563" max="6563" customWidth="1" width="9.140625"/>
    <col min="6564" max="6564" customWidth="1" width="9.140625"/>
    <col min="6565" max="6565" customWidth="1" width="9.140625"/>
    <col min="6566" max="6566" customWidth="1" width="9.140625"/>
    <col min="6567" max="6567" customWidth="1" width="9.140625"/>
    <col min="6568" max="6568" customWidth="1" width="9.140625"/>
    <col min="6569" max="6569" customWidth="1" width="9.140625"/>
    <col min="6570" max="6570" customWidth="1" width="9.140625"/>
    <col min="6571" max="6571" customWidth="1" width="9.140625"/>
    <col min="6572" max="6572" customWidth="1" width="9.140625"/>
    <col min="6573" max="6573" customWidth="1" width="9.140625"/>
    <col min="6574" max="6574" customWidth="1" width="9.140625"/>
    <col min="6575" max="6575" customWidth="1" width="9.140625"/>
    <col min="6576" max="6576" customWidth="1" width="9.140625"/>
    <col min="6577" max="6577" customWidth="1" width="9.140625"/>
    <col min="6578" max="6578" customWidth="1" width="9.140625"/>
    <col min="6579" max="6579" customWidth="1" width="9.140625"/>
    <col min="6580" max="6580" customWidth="1" width="9.140625"/>
    <col min="6581" max="6581" customWidth="1" width="9.140625"/>
    <col min="6582" max="6582" customWidth="1" width="9.140625"/>
    <col min="6583" max="6583" customWidth="1" width="9.140625"/>
    <col min="6584" max="6584" customWidth="1" width="9.140625"/>
    <col min="6585" max="6585" customWidth="1" width="9.140625"/>
    <col min="6586" max="6586" customWidth="1" width="9.140625"/>
    <col min="6587" max="6587" customWidth="1" width="9.140625"/>
    <col min="6588" max="6588" customWidth="1" width="9.140625"/>
    <col min="6589" max="6589" customWidth="1" width="9.140625"/>
    <col min="6590" max="6590" customWidth="1" width="9.140625"/>
    <col min="6591" max="6591" customWidth="1" width="9.140625"/>
    <col min="6592" max="6592" customWidth="1" width="9.140625"/>
    <col min="6593" max="6593" customWidth="1" width="9.140625"/>
    <col min="6594" max="6594" customWidth="1" width="9.140625"/>
    <col min="6595" max="6595" customWidth="1" width="9.140625"/>
    <col min="6596" max="6596" customWidth="1" width="9.140625"/>
    <col min="6597" max="6597" customWidth="1" width="9.140625"/>
    <col min="6598" max="6598" customWidth="1" width="9.140625"/>
    <col min="6599" max="6599" customWidth="1" width="9.140625"/>
    <col min="6600" max="6600" customWidth="1" width="9.140625"/>
    <col min="6601" max="6601" customWidth="1" width="9.140625"/>
    <col min="6602" max="6602" customWidth="1" width="9.140625"/>
    <col min="6603" max="6603" customWidth="1" width="9.140625"/>
    <col min="6604" max="6604" customWidth="1" width="9.140625"/>
    <col min="6605" max="6605" customWidth="1" width="9.140625"/>
    <col min="6606" max="6606" customWidth="1" width="9.140625"/>
    <col min="6607" max="6607" customWidth="1" width="9.140625"/>
    <col min="6608" max="6608" customWidth="1" width="9.140625"/>
    <col min="6609" max="6609" customWidth="1" width="9.140625"/>
    <col min="6610" max="6610" customWidth="1" width="9.140625"/>
    <col min="6611" max="6611" customWidth="1" width="9.140625"/>
    <col min="6612" max="6612" customWidth="1" width="9.140625"/>
    <col min="6613" max="6613" customWidth="1" width="9.140625"/>
    <col min="6614" max="6614" customWidth="1" width="9.140625"/>
    <col min="6615" max="6615" customWidth="1" width="9.140625"/>
    <col min="6616" max="6616" customWidth="1" width="9.140625"/>
    <col min="6617" max="6617" customWidth="1" width="9.140625"/>
    <col min="6618" max="6618" customWidth="1" width="9.140625"/>
    <col min="6619" max="6619" customWidth="1" width="9.140625"/>
    <col min="6620" max="6620" customWidth="1" width="9.140625"/>
    <col min="6621" max="6621" customWidth="1" width="9.140625"/>
    <col min="6622" max="6622" customWidth="1" width="9.140625"/>
    <col min="6623" max="6623" customWidth="1" width="9.140625"/>
    <col min="6624" max="6624" customWidth="1" width="9.140625"/>
    <col min="6625" max="6625" customWidth="1" width="9.140625"/>
    <col min="6626" max="6626" customWidth="1" width="9.140625"/>
    <col min="6627" max="6627" customWidth="1" width="9.140625"/>
    <col min="6628" max="6628" customWidth="1" width="9.140625"/>
    <col min="6629" max="6629" customWidth="1" width="9.140625"/>
    <col min="6630" max="6630" customWidth="1" width="9.140625"/>
    <col min="6631" max="6631" customWidth="1" width="9.140625"/>
    <col min="6632" max="6632" customWidth="1" width="9.140625"/>
    <col min="6633" max="6633" customWidth="1" width="9.140625"/>
    <col min="6634" max="6634" customWidth="1" width="9.140625"/>
    <col min="6635" max="6635" customWidth="1" width="9.140625"/>
    <col min="6636" max="6636" customWidth="1" width="9.140625"/>
    <col min="6637" max="6637" customWidth="1" width="9.140625"/>
    <col min="6638" max="6638" customWidth="1" width="9.140625"/>
    <col min="6639" max="6639" customWidth="1" width="9.140625"/>
    <col min="6640" max="6640" customWidth="1" width="9.140625"/>
    <col min="6641" max="6641" customWidth="1" width="9.140625"/>
    <col min="6642" max="6642" customWidth="1" width="9.140625"/>
    <col min="6643" max="6643" customWidth="1" width="9.140625"/>
    <col min="6644" max="6644" customWidth="1" width="9.140625"/>
    <col min="6645" max="6645" customWidth="1" width="9.140625"/>
    <col min="6646" max="6646" customWidth="1" width="9.140625"/>
    <col min="6647" max="6647" customWidth="1" width="9.140625"/>
    <col min="6648" max="6648" customWidth="1" width="9.140625"/>
    <col min="6649" max="6649" customWidth="1" width="9.140625"/>
    <col min="6650" max="6650" customWidth="1" width="9.140625"/>
    <col min="6651" max="6651" customWidth="1" width="9.140625"/>
    <col min="6652" max="6652" customWidth="1" width="9.140625"/>
    <col min="6653" max="6653" customWidth="1" width="9.140625"/>
    <col min="6654" max="6654" customWidth="1" width="9.140625"/>
    <col min="6655" max="6655" customWidth="1" width="9.140625"/>
    <col min="6656" max="6656" customWidth="1" width="9.140625"/>
    <col min="6657" max="6657" customWidth="1" width="9.140625"/>
    <col min="6658" max="6658" customWidth="1" width="9.140625"/>
    <col min="6659" max="6659" customWidth="1" width="9.140625"/>
    <col min="6660" max="6660" customWidth="1" width="9.140625"/>
    <col min="6661" max="6661" customWidth="1" width="9.140625"/>
    <col min="6662" max="6662" customWidth="1" width="9.140625"/>
    <col min="6663" max="6663" customWidth="1" width="9.140625"/>
    <col min="6664" max="6664" customWidth="1" width="9.140625"/>
    <col min="6665" max="6665" customWidth="1" width="9.140625"/>
    <col min="6666" max="6666" customWidth="1" width="9.140625"/>
    <col min="6667" max="6667" customWidth="1" width="9.140625"/>
    <col min="6668" max="6668" customWidth="1" width="9.140625"/>
    <col min="6669" max="6669" customWidth="1" width="9.140625"/>
    <col min="6670" max="6670" customWidth="1" width="9.140625"/>
    <col min="6671" max="6671" customWidth="1" width="9.140625"/>
    <col min="6672" max="6672" customWidth="1" width="9.140625"/>
    <col min="6673" max="6673" customWidth="1" width="9.140625"/>
    <col min="6674" max="6674" customWidth="1" width="9.140625"/>
    <col min="6675" max="6675" customWidth="1" width="9.140625"/>
    <col min="6676" max="6676" customWidth="1" width="9.140625"/>
    <col min="6677" max="6677" customWidth="1" width="9.140625"/>
    <col min="6678" max="6678" customWidth="1" width="9.140625"/>
    <col min="6679" max="6679" customWidth="1" width="9.140625"/>
    <col min="6680" max="6680" customWidth="1" width="9.140625"/>
    <col min="6681" max="6681" customWidth="1" width="9.140625"/>
    <col min="6682" max="6682" customWidth="1" width="9.140625"/>
    <col min="6683" max="6683" customWidth="1" width="9.140625"/>
    <col min="6684" max="6684" customWidth="1" width="9.140625"/>
    <col min="6685" max="6685" customWidth="1" width="9.140625"/>
    <col min="6686" max="6686" customWidth="1" width="9.140625"/>
    <col min="6687" max="6687" customWidth="1" width="9.140625"/>
    <col min="6688" max="6688" customWidth="1" width="9.140625"/>
    <col min="6689" max="6689" customWidth="1" width="9.140625"/>
    <col min="6690" max="6690" customWidth="1" width="9.140625"/>
    <col min="6691" max="6691" customWidth="1" width="9.140625"/>
    <col min="6692" max="6692" customWidth="1" width="9.140625"/>
    <col min="6693" max="6693" customWidth="1" width="9.140625"/>
    <col min="6694" max="6694" customWidth="1" width="9.140625"/>
    <col min="6695" max="6695" customWidth="1" width="9.140625"/>
    <col min="6696" max="6696" customWidth="1" width="9.140625"/>
    <col min="6697" max="6697" customWidth="1" width="9.140625"/>
    <col min="6698" max="6698" customWidth="1" width="9.140625"/>
    <col min="6699" max="6699" customWidth="1" width="9.140625"/>
    <col min="6700" max="6700" customWidth="1" width="9.140625"/>
    <col min="6701" max="6701" customWidth="1" width="9.140625"/>
    <col min="6702" max="6702" customWidth="1" width="9.140625"/>
    <col min="6703" max="6703" customWidth="1" width="9.140625"/>
    <col min="6704" max="6704" customWidth="1" width="9.140625"/>
    <col min="6705" max="6705" customWidth="1" width="9.140625"/>
    <col min="6706" max="6706" customWidth="1" width="9.140625"/>
    <col min="6707" max="6707" customWidth="1" width="9.140625"/>
    <col min="6708" max="6708" customWidth="1" width="9.140625"/>
    <col min="6709" max="6709" customWidth="1" width="9.140625"/>
    <col min="6710" max="6710" customWidth="1" width="9.140625"/>
    <col min="6711" max="6711" customWidth="1" width="9.140625"/>
    <col min="6712" max="6712" customWidth="1" width="9.140625"/>
    <col min="6713" max="6713" customWidth="1" width="9.140625"/>
    <col min="6714" max="6714" customWidth="1" width="9.140625"/>
    <col min="6715" max="6715" customWidth="1" width="9.140625"/>
    <col min="6716" max="6716" customWidth="1" width="9.140625"/>
    <col min="6717" max="6717" customWidth="1" width="9.140625"/>
    <col min="6718" max="6718" customWidth="1" width="9.140625"/>
    <col min="6719" max="6719" customWidth="1" width="9.140625"/>
    <col min="6720" max="6720" customWidth="1" width="9.140625"/>
    <col min="6721" max="6721" customWidth="1" width="9.140625"/>
    <col min="6722" max="6722" customWidth="1" width="9.140625"/>
    <col min="6723" max="6723" customWidth="1" width="9.140625"/>
    <col min="6724" max="6724" customWidth="1" width="9.140625"/>
    <col min="6725" max="6725" customWidth="1" width="9.140625"/>
    <col min="6726" max="6726" customWidth="1" width="9.140625"/>
    <col min="6727" max="6727" customWidth="1" width="9.140625"/>
    <col min="6728" max="6728" customWidth="1" width="9.140625"/>
    <col min="6729" max="6729" customWidth="1" width="9.140625"/>
    <col min="6730" max="6730" customWidth="1" width="9.140625"/>
    <col min="6731" max="6731" customWidth="1" width="9.140625"/>
    <col min="6732" max="6732" customWidth="1" width="9.140625"/>
    <col min="6733" max="6733" customWidth="1" width="9.140625"/>
    <col min="6734" max="6734" customWidth="1" width="9.140625"/>
    <col min="6735" max="6735" customWidth="1" width="9.140625"/>
    <col min="6736" max="6736" customWidth="1" width="9.140625"/>
    <col min="6737" max="6737" customWidth="1" width="9.140625"/>
    <col min="6738" max="6738" customWidth="1" width="9.140625"/>
    <col min="6739" max="6739" customWidth="1" width="9.140625"/>
    <col min="6740" max="6740" customWidth="1" width="9.140625"/>
    <col min="6741" max="6741" customWidth="1" width="9.140625"/>
    <col min="6742" max="6742" customWidth="1" width="9.140625"/>
    <col min="6743" max="6743" customWidth="1" width="9.140625"/>
    <col min="6744" max="6744" customWidth="1" width="9.140625"/>
    <col min="6745" max="6745" customWidth="1" width="9.140625"/>
    <col min="6746" max="6746" customWidth="1" width="9.140625"/>
    <col min="6747" max="6747" customWidth="1" width="9.140625"/>
    <col min="6748" max="6748" customWidth="1" width="9.140625"/>
    <col min="6749" max="6749" customWidth="1" width="9.140625"/>
    <col min="6750" max="6750" customWidth="1" width="9.140625"/>
    <col min="6751" max="6751" customWidth="1" width="9.140625"/>
    <col min="6752" max="6752" customWidth="1" width="9.140625"/>
    <col min="6753" max="6753" customWidth="1" width="9.140625"/>
    <col min="6754" max="6754" customWidth="1" width="9.140625"/>
    <col min="6755" max="6755" customWidth="1" width="9.140625"/>
    <col min="6756" max="6756" customWidth="1" width="9.140625"/>
    <col min="6757" max="6757" customWidth="1" width="9.140625"/>
    <col min="6758" max="6758" customWidth="1" width="9.140625"/>
    <col min="6759" max="6759" customWidth="1" width="9.140625"/>
    <col min="6760" max="6760" customWidth="1" width="9.140625"/>
    <col min="6761" max="6761" customWidth="1" width="9.140625"/>
    <col min="6762" max="6762" customWidth="1" width="9.140625"/>
    <col min="6763" max="6763" customWidth="1" width="9.140625"/>
    <col min="6764" max="6764" customWidth="1" width="9.140625"/>
    <col min="6765" max="6765" customWidth="1" width="9.140625"/>
    <col min="6766" max="6766" customWidth="1" width="9.140625"/>
    <col min="6767" max="6767" customWidth="1" width="9.140625"/>
    <col min="6768" max="6768" customWidth="1" width="9.140625"/>
    <col min="6769" max="6769" customWidth="1" width="9.140625"/>
    <col min="6770" max="6770" customWidth="1" width="9.140625"/>
    <col min="6771" max="6771" customWidth="1" width="9.140625"/>
    <col min="6772" max="6772" customWidth="1" width="9.140625"/>
    <col min="6773" max="6773" customWidth="1" width="9.140625"/>
    <col min="6774" max="6774" customWidth="1" width="9.140625"/>
    <col min="6775" max="6775" customWidth="1" width="9.140625"/>
    <col min="6776" max="6776" customWidth="1" width="9.140625"/>
    <col min="6777" max="6777" customWidth="1" width="9.140625"/>
    <col min="6778" max="6778" customWidth="1" width="9.140625"/>
    <col min="6779" max="6779" customWidth="1" width="9.140625"/>
    <col min="6780" max="6780" customWidth="1" width="9.140625"/>
    <col min="6781" max="6781" customWidth="1" width="9.140625"/>
    <col min="6782" max="6782" customWidth="1" width="9.140625"/>
    <col min="6783" max="6783" customWidth="1" width="9.140625"/>
    <col min="6784" max="6784" customWidth="1" width="9.140625"/>
    <col min="6785" max="6785" customWidth="1" width="9.140625"/>
    <col min="6786" max="6786" customWidth="1" width="9.140625"/>
    <col min="6787" max="6787" customWidth="1" width="9.140625"/>
    <col min="6788" max="6788" customWidth="1" width="9.140625"/>
    <col min="6789" max="6789" customWidth="1" width="9.140625"/>
    <col min="6790" max="6790" customWidth="1" width="9.140625"/>
    <col min="6791" max="6791" customWidth="1" width="9.140625"/>
    <col min="6792" max="6792" customWidth="1" width="9.140625"/>
    <col min="6793" max="6793" customWidth="1" width="9.140625"/>
    <col min="6794" max="6794" customWidth="1" width="9.140625"/>
    <col min="6795" max="6795" customWidth="1" width="9.140625"/>
    <col min="6796" max="6796" customWidth="1" width="9.140625"/>
    <col min="6797" max="6797" customWidth="1" width="9.140625"/>
    <col min="6798" max="6798" customWidth="1" width="9.140625"/>
    <col min="6799" max="6799" customWidth="1" width="9.140625"/>
    <col min="6800" max="6800" customWidth="1" width="9.140625"/>
    <col min="6801" max="6801" customWidth="1" width="9.140625"/>
    <col min="6802" max="6802" customWidth="1" width="9.140625"/>
    <col min="6803" max="6803" customWidth="1" width="9.140625"/>
    <col min="6804" max="6804" customWidth="1" width="9.140625"/>
    <col min="6805" max="6805" customWidth="1" width="9.140625"/>
    <col min="6806" max="6806" customWidth="1" width="9.140625"/>
    <col min="6807" max="6807" customWidth="1" width="9.140625"/>
    <col min="6808" max="6808" customWidth="1" width="9.140625"/>
    <col min="6809" max="6809" customWidth="1" width="9.140625"/>
    <col min="6810" max="6810" customWidth="1" width="9.140625"/>
    <col min="6811" max="6811" customWidth="1" width="9.140625"/>
    <col min="6812" max="6812" customWidth="1" width="9.140625"/>
    <col min="6813" max="6813" customWidth="1" width="9.140625"/>
    <col min="6814" max="6814" customWidth="1" width="9.140625"/>
    <col min="6815" max="6815" customWidth="1" width="9.140625"/>
    <col min="6816" max="6816" customWidth="1" width="9.140625"/>
    <col min="6817" max="6817" customWidth="1" width="9.140625"/>
    <col min="6818" max="6818" customWidth="1" width="9.140625"/>
    <col min="6819" max="6819" customWidth="1" width="9.140625"/>
    <col min="6820" max="6820" customWidth="1" width="9.140625"/>
    <col min="6821" max="6821" customWidth="1" width="9.140625"/>
    <col min="6822" max="6822" customWidth="1" width="9.140625"/>
    <col min="6823" max="6823" customWidth="1" width="9.140625"/>
    <col min="6824" max="6824" customWidth="1" width="9.140625"/>
    <col min="6825" max="6825" customWidth="1" width="9.140625"/>
    <col min="6826" max="6826" customWidth="1" width="9.140625"/>
    <col min="6827" max="6827" customWidth="1" width="9.140625"/>
    <col min="6828" max="6828" customWidth="1" width="9.140625"/>
    <col min="6829" max="6829" customWidth="1" width="9.140625"/>
    <col min="6830" max="6830" customWidth="1" width="9.140625"/>
    <col min="6831" max="6831" customWidth="1" width="9.140625"/>
    <col min="6832" max="6832" customWidth="1" width="9.140625"/>
    <col min="6833" max="6833" customWidth="1" width="9.140625"/>
    <col min="6834" max="6834" customWidth="1" width="9.140625"/>
    <col min="6835" max="6835" customWidth="1" width="9.140625"/>
    <col min="6836" max="6836" customWidth="1" width="9.140625"/>
    <col min="6837" max="6837" customWidth="1" width="9.140625"/>
    <col min="6838" max="6838" customWidth="1" width="9.140625"/>
    <col min="6839" max="6839" customWidth="1" width="9.140625"/>
    <col min="6840" max="6840" customWidth="1" width="9.140625"/>
    <col min="6841" max="6841" customWidth="1" width="9.140625"/>
    <col min="6842" max="6842" customWidth="1" width="9.140625"/>
    <col min="6843" max="6843" customWidth="1" width="9.140625"/>
    <col min="6844" max="6844" customWidth="1" width="9.140625"/>
    <col min="6845" max="6845" customWidth="1" width="9.140625"/>
    <col min="6846" max="6846" customWidth="1" width="9.140625"/>
    <col min="6847" max="6847" customWidth="1" width="9.140625"/>
    <col min="6848" max="6848" customWidth="1" width="9.140625"/>
    <col min="6849" max="6849" customWidth="1" width="9.140625"/>
    <col min="6850" max="6850" customWidth="1" width="9.140625"/>
    <col min="6851" max="6851" customWidth="1" width="9.140625"/>
    <col min="6852" max="6852" customWidth="1" width="9.140625"/>
    <col min="6853" max="6853" customWidth="1" width="9.140625"/>
    <col min="6854" max="6854" customWidth="1" width="9.140625"/>
    <col min="6855" max="6855" customWidth="1" width="9.140625"/>
    <col min="6856" max="6856" customWidth="1" width="9.140625"/>
    <col min="6857" max="6857" customWidth="1" width="9.140625"/>
    <col min="6858" max="6858" customWidth="1" width="9.140625"/>
    <col min="6859" max="6859" customWidth="1" width="9.140625"/>
    <col min="6860" max="6860" customWidth="1" width="9.140625"/>
    <col min="6861" max="6861" customWidth="1" width="9.140625"/>
    <col min="6862" max="6862" customWidth="1" width="9.140625"/>
    <col min="6863" max="6863" customWidth="1" width="9.140625"/>
    <col min="6864" max="6864" customWidth="1" width="9.140625"/>
    <col min="6865" max="6865" customWidth="1" width="9.140625"/>
    <col min="6866" max="6866" customWidth="1" width="9.140625"/>
    <col min="6867" max="6867" customWidth="1" width="9.140625"/>
    <col min="6868" max="6868" customWidth="1" width="9.140625"/>
    <col min="6869" max="6869" customWidth="1" width="9.140625"/>
    <col min="6870" max="6870" customWidth="1" width="9.140625"/>
    <col min="6871" max="6871" customWidth="1" width="9.140625"/>
    <col min="6872" max="6872" customWidth="1" width="9.140625"/>
    <col min="6873" max="6873" customWidth="1" width="9.140625"/>
    <col min="6874" max="6874" customWidth="1" width="9.140625"/>
    <col min="6875" max="6875" customWidth="1" width="9.140625"/>
    <col min="6876" max="6876" customWidth="1" width="9.140625"/>
    <col min="6877" max="6877" customWidth="1" width="9.140625"/>
    <col min="6878" max="6878" customWidth="1" width="9.140625"/>
    <col min="6879" max="6879" customWidth="1" width="9.140625"/>
    <col min="6880" max="6880" customWidth="1" width="9.140625"/>
    <col min="6881" max="6881" customWidth="1" width="9.140625"/>
    <col min="6882" max="6882" customWidth="1" width="9.140625"/>
    <col min="6883" max="6883" customWidth="1" width="9.140625"/>
    <col min="6884" max="6884" customWidth="1" width="9.140625"/>
    <col min="6885" max="6885" customWidth="1" width="9.140625"/>
    <col min="6886" max="6886" customWidth="1" width="9.140625"/>
    <col min="6887" max="6887" customWidth="1" width="9.140625"/>
    <col min="6888" max="6888" customWidth="1" width="9.140625"/>
    <col min="6889" max="6889" customWidth="1" width="9.140625"/>
    <col min="6890" max="6890" customWidth="1" width="9.140625"/>
    <col min="6891" max="6891" customWidth="1" width="9.140625"/>
    <col min="6892" max="6892" customWidth="1" width="9.140625"/>
    <col min="6893" max="6893" customWidth="1" width="9.140625"/>
    <col min="6894" max="6894" customWidth="1" width="9.140625"/>
    <col min="6895" max="6895" customWidth="1" width="9.140625"/>
    <col min="6896" max="6896" customWidth="1" width="9.140625"/>
    <col min="6897" max="6897" customWidth="1" width="9.140625"/>
    <col min="6898" max="6898" customWidth="1" width="9.140625"/>
    <col min="6899" max="6899" customWidth="1" width="9.140625"/>
    <col min="6900" max="6900" customWidth="1" width="9.140625"/>
    <col min="6901" max="6901" customWidth="1" width="9.140625"/>
    <col min="6902" max="6902" customWidth="1" width="9.140625"/>
    <col min="6903" max="6903" customWidth="1" width="9.140625"/>
    <col min="6904" max="6904" customWidth="1" width="9.140625"/>
    <col min="6905" max="6905" customWidth="1" width="9.140625"/>
    <col min="6906" max="6906" customWidth="1" width="9.140625"/>
    <col min="6907" max="6907" customWidth="1" width="9.140625"/>
    <col min="6908" max="6908" customWidth="1" width="9.140625"/>
    <col min="6909" max="6909" customWidth="1" width="9.140625"/>
    <col min="6910" max="6910" customWidth="1" width="9.140625"/>
    <col min="6911" max="6911" customWidth="1" width="9.140625"/>
    <col min="6912" max="6912" customWidth="1" width="9.140625"/>
    <col min="6913" max="6913" customWidth="1" width="9.140625"/>
    <col min="6914" max="6914" customWidth="1" width="9.140625"/>
    <col min="6915" max="6915" customWidth="1" width="9.140625"/>
    <col min="6916" max="6916" customWidth="1" width="9.140625"/>
    <col min="6917" max="6917" customWidth="1" width="9.140625"/>
    <col min="6918" max="6918" customWidth="1" width="9.140625"/>
    <col min="6919" max="6919" customWidth="1" width="9.140625"/>
    <col min="6920" max="6920" customWidth="1" width="9.140625"/>
    <col min="6921" max="6921" customWidth="1" width="9.140625"/>
    <col min="6922" max="6922" customWidth="1" width="9.140625"/>
    <col min="6923" max="6923" customWidth="1" width="9.140625"/>
    <col min="6924" max="6924" customWidth="1" width="9.140625"/>
    <col min="6925" max="6925" customWidth="1" width="9.140625"/>
    <col min="6926" max="6926" customWidth="1" width="9.140625"/>
    <col min="6927" max="6927" customWidth="1" width="9.140625"/>
    <col min="6928" max="6928" customWidth="1" width="9.140625"/>
    <col min="6929" max="6929" customWidth="1" width="9.140625"/>
    <col min="6930" max="6930" customWidth="1" width="9.140625"/>
    <col min="6931" max="6931" customWidth="1" width="9.140625"/>
    <col min="6932" max="6932" customWidth="1" width="9.140625"/>
    <col min="6933" max="6933" customWidth="1" width="9.140625"/>
    <col min="6934" max="6934" customWidth="1" width="9.140625"/>
    <col min="6935" max="6935" customWidth="1" width="9.140625"/>
    <col min="6936" max="6936" customWidth="1" width="9.140625"/>
    <col min="6937" max="6937" customWidth="1" width="9.140625"/>
    <col min="6938" max="6938" customWidth="1" width="9.140625"/>
    <col min="6939" max="6939" customWidth="1" width="9.140625"/>
    <col min="6940" max="6940" customWidth="1" width="9.140625"/>
    <col min="6941" max="6941" customWidth="1" width="9.140625"/>
    <col min="6942" max="6942" customWidth="1" width="9.140625"/>
    <col min="6943" max="6943" customWidth="1" width="9.140625"/>
    <col min="6944" max="6944" customWidth="1" width="9.140625"/>
    <col min="6945" max="6945" customWidth="1" width="9.140625"/>
    <col min="6946" max="6946" customWidth="1" width="9.140625"/>
    <col min="6947" max="6947" customWidth="1" width="9.140625"/>
    <col min="6948" max="6948" customWidth="1" width="9.140625"/>
    <col min="6949" max="6949" customWidth="1" width="9.140625"/>
    <col min="6950" max="6950" customWidth="1" width="9.140625"/>
    <col min="6951" max="6951" customWidth="1" width="9.140625"/>
    <col min="6952" max="6952" customWidth="1" width="9.140625"/>
    <col min="6953" max="6953" customWidth="1" width="9.140625"/>
    <col min="6954" max="6954" customWidth="1" width="9.140625"/>
    <col min="6955" max="6955" customWidth="1" width="9.140625"/>
    <col min="6956" max="6956" customWidth="1" width="9.140625"/>
    <col min="6957" max="6957" customWidth="1" width="9.140625"/>
    <col min="6958" max="6958" customWidth="1" width="9.140625"/>
    <col min="6959" max="6959" customWidth="1" width="9.140625"/>
    <col min="6960" max="6960" customWidth="1" width="9.140625"/>
    <col min="6961" max="6961" customWidth="1" width="9.140625"/>
    <col min="6962" max="6962" customWidth="1" width="9.140625"/>
    <col min="6963" max="6963" customWidth="1" width="9.140625"/>
    <col min="6964" max="6964" customWidth="1" width="9.140625"/>
    <col min="6965" max="6965" customWidth="1" width="9.140625"/>
    <col min="6966" max="6966" customWidth="1" width="9.140625"/>
    <col min="6967" max="6967" customWidth="1" width="9.140625"/>
    <col min="6968" max="6968" customWidth="1" width="9.140625"/>
    <col min="6969" max="6969" customWidth="1" width="9.140625"/>
    <col min="6970" max="6970" customWidth="1" width="9.140625"/>
    <col min="6971" max="6971" customWidth="1" width="9.140625"/>
    <col min="6972" max="6972" customWidth="1" width="9.140625"/>
    <col min="6973" max="6973" customWidth="1" width="9.140625"/>
    <col min="6974" max="6974" customWidth="1" width="9.140625"/>
    <col min="6975" max="6975" customWidth="1" width="9.140625"/>
    <col min="6976" max="6976" customWidth="1" width="9.140625"/>
    <col min="6977" max="6977" customWidth="1" width="9.140625"/>
    <col min="6978" max="6978" customWidth="1" width="9.140625"/>
    <col min="6979" max="6979" customWidth="1" width="9.140625"/>
    <col min="6980" max="6980" customWidth="1" width="9.140625"/>
    <col min="6981" max="6981" customWidth="1" width="9.140625"/>
    <col min="6982" max="6982" customWidth="1" width="9.140625"/>
    <col min="6983" max="6983" customWidth="1" width="9.140625"/>
    <col min="6984" max="6984" customWidth="1" width="9.140625"/>
    <col min="6985" max="6985" customWidth="1" width="9.140625"/>
    <col min="6986" max="6986" customWidth="1" width="9.140625"/>
    <col min="6987" max="6987" customWidth="1" width="9.140625"/>
    <col min="6988" max="6988" customWidth="1" width="9.140625"/>
    <col min="6989" max="6989" customWidth="1" width="9.140625"/>
    <col min="6990" max="6990" customWidth="1" width="9.140625"/>
    <col min="6991" max="6991" customWidth="1" width="9.140625"/>
    <col min="6992" max="6992" customWidth="1" width="9.140625"/>
    <col min="6993" max="6993" customWidth="1" width="9.140625"/>
    <col min="6994" max="6994" customWidth="1" width="9.140625"/>
    <col min="6995" max="6995" customWidth="1" width="9.140625"/>
    <col min="6996" max="6996" customWidth="1" width="9.140625"/>
    <col min="6997" max="6997" customWidth="1" width="9.140625"/>
    <col min="6998" max="6998" customWidth="1" width="9.140625"/>
    <col min="6999" max="6999" customWidth="1" width="9.140625"/>
    <col min="7000" max="7000" customWidth="1" width="9.140625"/>
    <col min="7001" max="7001" customWidth="1" width="9.140625"/>
    <col min="7002" max="7002" customWidth="1" width="9.140625"/>
    <col min="7003" max="7003" customWidth="1" width="9.140625"/>
    <col min="7004" max="7004" customWidth="1" width="9.140625"/>
    <col min="7005" max="7005" customWidth="1" width="9.140625"/>
    <col min="7006" max="7006" customWidth="1" width="9.140625"/>
    <col min="7007" max="7007" customWidth="1" width="9.140625"/>
    <col min="7008" max="7008" customWidth="1" width="9.140625"/>
    <col min="7009" max="7009" customWidth="1" width="9.140625"/>
    <col min="7010" max="7010" customWidth="1" width="9.140625"/>
    <col min="7011" max="7011" customWidth="1" width="9.140625"/>
    <col min="7012" max="7012" customWidth="1" width="9.140625"/>
    <col min="7013" max="7013" customWidth="1" width="9.140625"/>
    <col min="7014" max="7014" customWidth="1" width="9.140625"/>
    <col min="7015" max="7015" customWidth="1" width="9.140625"/>
    <col min="7016" max="7016" customWidth="1" width="9.140625"/>
    <col min="7017" max="7017" customWidth="1" width="9.140625"/>
    <col min="7018" max="7018" customWidth="1" width="9.140625"/>
    <col min="7019" max="7019" customWidth="1" width="9.140625"/>
    <col min="7020" max="7020" customWidth="1" width="9.140625"/>
    <col min="7021" max="7021" customWidth="1" width="9.140625"/>
    <col min="7022" max="7022" customWidth="1" width="9.140625"/>
    <col min="7023" max="7023" customWidth="1" width="9.140625"/>
    <col min="7024" max="7024" customWidth="1" width="9.140625"/>
    <col min="7025" max="7025" customWidth="1" width="9.140625"/>
    <col min="7026" max="7026" customWidth="1" width="9.140625"/>
    <col min="7027" max="7027" customWidth="1" width="9.140625"/>
    <col min="7028" max="7028" customWidth="1" width="9.140625"/>
    <col min="7029" max="7029" customWidth="1" width="9.140625"/>
    <col min="7030" max="7030" customWidth="1" width="9.140625"/>
    <col min="7031" max="7031" customWidth="1" width="9.140625"/>
    <col min="7032" max="7032" customWidth="1" width="9.140625"/>
    <col min="7033" max="7033" customWidth="1" width="9.140625"/>
    <col min="7034" max="7034" customWidth="1" width="9.140625"/>
    <col min="7035" max="7035" customWidth="1" width="9.140625"/>
    <col min="7036" max="7036" customWidth="1" width="9.140625"/>
    <col min="7037" max="7037" customWidth="1" width="9.140625"/>
    <col min="7038" max="7038" customWidth="1" width="9.140625"/>
    <col min="7039" max="7039" customWidth="1" width="9.140625"/>
    <col min="7040" max="7040" customWidth="1" width="9.140625"/>
    <col min="7041" max="7041" customWidth="1" width="9.140625"/>
    <col min="7042" max="7042" customWidth="1" width="9.140625"/>
    <col min="7043" max="7043" customWidth="1" width="9.140625"/>
    <col min="7044" max="7044" customWidth="1" width="9.140625"/>
    <col min="7045" max="7045" customWidth="1" width="9.140625"/>
    <col min="7046" max="7046" customWidth="1" width="9.140625"/>
    <col min="7047" max="7047" customWidth="1" width="9.140625"/>
    <col min="7048" max="7048" customWidth="1" width="9.140625"/>
    <col min="7049" max="7049" customWidth="1" width="9.140625"/>
    <col min="7050" max="7050" customWidth="1" width="9.140625"/>
    <col min="7051" max="7051" customWidth="1" width="9.140625"/>
    <col min="7052" max="7052" customWidth="1" width="9.140625"/>
    <col min="7053" max="7053" customWidth="1" width="9.140625"/>
    <col min="7054" max="7054" customWidth="1" width="9.140625"/>
    <col min="7055" max="7055" customWidth="1" width="9.140625"/>
    <col min="7056" max="7056" customWidth="1" width="9.140625"/>
    <col min="7057" max="7057" customWidth="1" width="9.140625"/>
    <col min="7058" max="7058" customWidth="1" width="9.140625"/>
    <col min="7059" max="7059" customWidth="1" width="9.140625"/>
    <col min="7060" max="7060" customWidth="1" width="9.140625"/>
    <col min="7061" max="7061" customWidth="1" width="9.140625"/>
    <col min="7062" max="7062" customWidth="1" width="9.140625"/>
    <col min="7063" max="7063" customWidth="1" width="9.140625"/>
    <col min="7064" max="7064" customWidth="1" width="9.140625"/>
    <col min="7065" max="7065" customWidth="1" width="9.140625"/>
    <col min="7066" max="7066" customWidth="1" width="9.140625"/>
    <col min="7067" max="7067" customWidth="1" width="9.140625"/>
    <col min="7068" max="7068" customWidth="1" width="9.140625"/>
    <col min="7069" max="7069" customWidth="1" width="9.140625"/>
    <col min="7070" max="7070" customWidth="1" width="9.140625"/>
    <col min="7071" max="7071" customWidth="1" width="9.140625"/>
    <col min="7072" max="7072" customWidth="1" width="9.140625"/>
    <col min="7073" max="7073" customWidth="1" width="9.140625"/>
    <col min="7074" max="7074" customWidth="1" width="9.140625"/>
    <col min="7075" max="7075" customWidth="1" width="9.140625"/>
    <col min="7076" max="7076" customWidth="1" width="9.140625"/>
    <col min="7077" max="7077" customWidth="1" width="9.140625"/>
    <col min="7078" max="7078" customWidth="1" width="9.140625"/>
    <col min="7079" max="7079" customWidth="1" width="9.140625"/>
    <col min="7080" max="7080" customWidth="1" width="9.140625"/>
    <col min="7081" max="7081" customWidth="1" width="9.140625"/>
    <col min="7082" max="7082" customWidth="1" width="9.140625"/>
    <col min="7083" max="7083" customWidth="1" width="9.140625"/>
    <col min="7084" max="7084" customWidth="1" width="9.140625"/>
    <col min="7085" max="7085" customWidth="1" width="9.140625"/>
    <col min="7086" max="7086" customWidth="1" width="9.140625"/>
    <col min="7087" max="7087" customWidth="1" width="9.140625"/>
    <col min="7088" max="7088" customWidth="1" width="9.140625"/>
    <col min="7089" max="7089" customWidth="1" width="9.140625"/>
    <col min="7090" max="7090" customWidth="1" width="9.140625"/>
    <col min="7091" max="7091" customWidth="1" width="9.140625"/>
    <col min="7092" max="7092" customWidth="1" width="9.140625"/>
    <col min="7093" max="7093" customWidth="1" width="9.140625"/>
    <col min="7094" max="7094" customWidth="1" width="9.140625"/>
    <col min="7095" max="7095" customWidth="1" width="9.140625"/>
    <col min="7096" max="7096" customWidth="1" width="9.140625"/>
    <col min="7097" max="7097" customWidth="1" width="9.140625"/>
    <col min="7098" max="7098" customWidth="1" width="9.140625"/>
    <col min="7099" max="7099" customWidth="1" width="9.140625"/>
    <col min="7100" max="7100" customWidth="1" width="9.140625"/>
    <col min="7101" max="7101" customWidth="1" width="9.140625"/>
    <col min="7102" max="7102" customWidth="1" width="9.140625"/>
    <col min="7103" max="7103" customWidth="1" width="9.140625"/>
    <col min="7104" max="7104" customWidth="1" width="9.140625"/>
    <col min="7105" max="7105" customWidth="1" width="9.140625"/>
    <col min="7106" max="7106" customWidth="1" width="9.140625"/>
    <col min="7107" max="7107" customWidth="1" width="9.140625"/>
    <col min="7108" max="7108" customWidth="1" width="9.140625"/>
    <col min="7109" max="7109" customWidth="1" width="9.140625"/>
    <col min="7110" max="7110" customWidth="1" width="9.140625"/>
    <col min="7111" max="7111" customWidth="1" width="9.140625"/>
    <col min="7112" max="7112" customWidth="1" width="9.140625"/>
    <col min="7113" max="7113" customWidth="1" width="9.140625"/>
    <col min="7114" max="7114" customWidth="1" width="9.140625"/>
    <col min="7115" max="7115" customWidth="1" width="9.140625"/>
    <col min="7116" max="7116" customWidth="1" width="9.140625"/>
    <col min="7117" max="7117" customWidth="1" width="9.140625"/>
    <col min="7118" max="7118" customWidth="1" width="9.140625"/>
    <col min="7119" max="7119" customWidth="1" width="9.140625"/>
    <col min="7120" max="7120" customWidth="1" width="9.140625"/>
    <col min="7121" max="7121" customWidth="1" width="9.140625"/>
    <col min="7122" max="7122" customWidth="1" width="9.140625"/>
    <col min="7123" max="7123" customWidth="1" width="9.140625"/>
    <col min="7124" max="7124" customWidth="1" width="9.140625"/>
    <col min="7125" max="7125" customWidth="1" width="9.140625"/>
    <col min="7126" max="7126" customWidth="1" width="9.140625"/>
    <col min="7127" max="7127" customWidth="1" width="9.140625"/>
    <col min="7128" max="7128" customWidth="1" width="9.140625"/>
    <col min="7129" max="7129" customWidth="1" width="9.140625"/>
    <col min="7130" max="7130" customWidth="1" width="9.140625"/>
    <col min="7131" max="7131" customWidth="1" width="9.140625"/>
    <col min="7132" max="7132" customWidth="1" width="9.140625"/>
    <col min="7133" max="7133" customWidth="1" width="9.140625"/>
    <col min="7134" max="7134" customWidth="1" width="9.140625"/>
    <col min="7135" max="7135" customWidth="1" width="9.140625"/>
    <col min="7136" max="7136" customWidth="1" width="9.140625"/>
    <col min="7137" max="7137" customWidth="1" width="9.140625"/>
    <col min="7138" max="7138" customWidth="1" width="9.140625"/>
    <col min="7139" max="7139" customWidth="1" width="9.140625"/>
    <col min="7140" max="7140" customWidth="1" width="9.140625"/>
    <col min="7141" max="7141" customWidth="1" width="9.140625"/>
    <col min="7142" max="7142" customWidth="1" width="9.140625"/>
    <col min="7143" max="7143" customWidth="1" width="9.140625"/>
    <col min="7144" max="7144" customWidth="1" width="9.140625"/>
    <col min="7145" max="7145" customWidth="1" width="9.140625"/>
    <col min="7146" max="7146" customWidth="1" width="9.140625"/>
    <col min="7147" max="7147" customWidth="1" width="9.140625"/>
    <col min="7148" max="7148" customWidth="1" width="9.140625"/>
    <col min="7149" max="7149" customWidth="1" width="9.140625"/>
    <col min="7150" max="7150" customWidth="1" width="9.140625"/>
    <col min="7151" max="7151" customWidth="1" width="9.140625"/>
    <col min="7152" max="7152" customWidth="1" width="9.140625"/>
    <col min="7153" max="7153" customWidth="1" width="9.140625"/>
    <col min="7154" max="7154" customWidth="1" width="9.140625"/>
    <col min="7155" max="7155" customWidth="1" width="9.140625"/>
    <col min="7156" max="7156" customWidth="1" width="9.140625"/>
    <col min="7157" max="7157" customWidth="1" width="9.140625"/>
    <col min="7158" max="7158" customWidth="1" width="9.140625"/>
    <col min="7159" max="7159" customWidth="1" width="9.140625"/>
    <col min="7160" max="7160" customWidth="1" width="9.140625"/>
    <col min="7161" max="7161" customWidth="1" width="9.140625"/>
    <col min="7162" max="7162" customWidth="1" width="9.140625"/>
    <col min="7163" max="7163" customWidth="1" width="9.140625"/>
    <col min="7164" max="7164" customWidth="1" width="9.140625"/>
    <col min="7165" max="7165" customWidth="1" width="9.140625"/>
    <col min="7166" max="7166" customWidth="1" width="9.140625"/>
    <col min="7167" max="7167" customWidth="1" width="9.140625"/>
    <col min="7168" max="7168" customWidth="1" width="9.140625"/>
    <col min="7169" max="7169" customWidth="1" width="9.140625"/>
    <col min="7170" max="7170" customWidth="1" width="9.140625"/>
    <col min="7171" max="7171" customWidth="1" width="9.140625"/>
    <col min="7172" max="7172" customWidth="1" width="9.140625"/>
    <col min="7173" max="7173" customWidth="1" width="9.140625"/>
    <col min="7174" max="7174" customWidth="1" width="9.140625"/>
    <col min="7175" max="7175" customWidth="1" width="9.140625"/>
    <col min="7176" max="7176" customWidth="1" width="9.140625"/>
    <col min="7177" max="7177" customWidth="1" width="9.140625"/>
    <col min="7178" max="7178" customWidth="1" width="9.140625"/>
    <col min="7179" max="7179" customWidth="1" width="9.140625"/>
    <col min="7180" max="7180" customWidth="1" width="9.140625"/>
    <col min="7181" max="7181" customWidth="1" width="9.140625"/>
    <col min="7182" max="7182" customWidth="1" width="9.140625"/>
    <col min="7183" max="7183" customWidth="1" width="9.140625"/>
    <col min="7184" max="7184" customWidth="1" width="9.140625"/>
    <col min="7185" max="7185" customWidth="1" width="9.140625"/>
    <col min="7186" max="7186" customWidth="1" width="9.140625"/>
    <col min="7187" max="7187" customWidth="1" width="9.140625"/>
    <col min="7188" max="7188" customWidth="1" width="9.140625"/>
    <col min="7189" max="7189" customWidth="1" width="9.140625"/>
    <col min="7190" max="7190" customWidth="1" width="9.140625"/>
    <col min="7191" max="7191" customWidth="1" width="9.140625"/>
    <col min="7192" max="7192" customWidth="1" width="9.140625"/>
    <col min="7193" max="7193" customWidth="1" width="9.140625"/>
    <col min="7194" max="7194" customWidth="1" width="9.140625"/>
    <col min="7195" max="7195" customWidth="1" width="9.140625"/>
    <col min="7196" max="7196" customWidth="1" width="9.140625"/>
    <col min="7197" max="7197" customWidth="1" width="9.140625"/>
    <col min="7198" max="7198" customWidth="1" width="9.140625"/>
    <col min="7199" max="7199" customWidth="1" width="9.140625"/>
    <col min="7200" max="7200" customWidth="1" width="9.140625"/>
    <col min="7201" max="7201" customWidth="1" width="9.140625"/>
    <col min="7202" max="7202" customWidth="1" width="9.140625"/>
    <col min="7203" max="7203" customWidth="1" width="9.140625"/>
    <col min="7204" max="7204" customWidth="1" width="9.140625"/>
    <col min="7205" max="7205" customWidth="1" width="9.140625"/>
    <col min="7206" max="7206" customWidth="1" width="9.140625"/>
    <col min="7207" max="7207" customWidth="1" width="9.140625"/>
    <col min="7208" max="7208" customWidth="1" width="9.140625"/>
    <col min="7209" max="7209" customWidth="1" width="9.140625"/>
    <col min="7210" max="7210" customWidth="1" width="9.140625"/>
    <col min="7211" max="7211" customWidth="1" width="9.140625"/>
    <col min="7212" max="7212" customWidth="1" width="9.140625"/>
    <col min="7213" max="7213" customWidth="1" width="9.140625"/>
    <col min="7214" max="7214" customWidth="1" width="9.140625"/>
    <col min="7215" max="7215" customWidth="1" width="9.140625"/>
    <col min="7216" max="7216" customWidth="1" width="9.140625"/>
    <col min="7217" max="7217" customWidth="1" width="9.140625"/>
    <col min="7218" max="7218" customWidth="1" width="9.140625"/>
    <col min="7219" max="7219" customWidth="1" width="9.140625"/>
    <col min="7220" max="7220" customWidth="1" width="9.140625"/>
    <col min="7221" max="7221" customWidth="1" width="9.140625"/>
    <col min="7222" max="7222" customWidth="1" width="9.140625"/>
    <col min="7223" max="7223" customWidth="1" width="9.140625"/>
    <col min="7224" max="7224" customWidth="1" width="9.140625"/>
    <col min="7225" max="7225" customWidth="1" width="9.140625"/>
    <col min="7226" max="7226" customWidth="1" width="9.140625"/>
    <col min="7227" max="7227" customWidth="1" width="9.140625"/>
    <col min="7228" max="7228" customWidth="1" width="9.140625"/>
    <col min="7229" max="7229" customWidth="1" width="9.140625"/>
    <col min="7230" max="7230" customWidth="1" width="9.140625"/>
    <col min="7231" max="7231" customWidth="1" width="9.140625"/>
    <col min="7232" max="7232" customWidth="1" width="9.140625"/>
    <col min="7233" max="7233" customWidth="1" width="9.140625"/>
    <col min="7234" max="7234" customWidth="1" width="9.140625"/>
    <col min="7235" max="7235" customWidth="1" width="9.140625"/>
    <col min="7236" max="7236" customWidth="1" width="9.140625"/>
    <col min="7237" max="7237" customWidth="1" width="9.140625"/>
    <col min="7238" max="7238" customWidth="1" width="9.140625"/>
    <col min="7239" max="7239" customWidth="1" width="9.140625"/>
    <col min="7240" max="7240" customWidth="1" width="9.140625"/>
    <col min="7241" max="7241" customWidth="1" width="9.140625"/>
    <col min="7242" max="7242" customWidth="1" width="9.140625"/>
    <col min="7243" max="7243" customWidth="1" width="9.140625"/>
    <col min="7244" max="7244" customWidth="1" width="9.140625"/>
    <col min="7245" max="7245" customWidth="1" width="9.140625"/>
    <col min="7246" max="7246" customWidth="1" width="9.140625"/>
    <col min="7247" max="7247" customWidth="1" width="9.140625"/>
    <col min="7248" max="7248" customWidth="1" width="9.140625"/>
    <col min="7249" max="7249" customWidth="1" width="9.140625"/>
    <col min="7250" max="7250" customWidth="1" width="9.140625"/>
    <col min="7251" max="7251" customWidth="1" width="9.140625"/>
    <col min="7252" max="7252" customWidth="1" width="9.140625"/>
    <col min="7253" max="7253" customWidth="1" width="9.140625"/>
    <col min="7254" max="7254" customWidth="1" width="9.140625"/>
    <col min="7255" max="7255" customWidth="1" width="9.140625"/>
    <col min="7256" max="7256" customWidth="1" width="9.140625"/>
    <col min="7257" max="7257" customWidth="1" width="9.140625"/>
    <col min="7258" max="7258" customWidth="1" width="9.140625"/>
    <col min="7259" max="7259" customWidth="1" width="9.140625"/>
    <col min="7260" max="7260" customWidth="1" width="9.140625"/>
    <col min="7261" max="7261" customWidth="1" width="9.140625"/>
    <col min="7262" max="7262" customWidth="1" width="9.140625"/>
    <col min="7263" max="7263" customWidth="1" width="9.140625"/>
    <col min="7264" max="7264" customWidth="1" width="9.140625"/>
    <col min="7265" max="7265" customWidth="1" width="9.140625"/>
    <col min="7266" max="7266" customWidth="1" width="9.140625"/>
    <col min="7267" max="7267" customWidth="1" width="9.140625"/>
    <col min="7268" max="7268" customWidth="1" width="9.140625"/>
    <col min="7269" max="7269" customWidth="1" width="9.140625"/>
    <col min="7270" max="7270" customWidth="1" width="9.140625"/>
    <col min="7271" max="7271" customWidth="1" width="9.140625"/>
    <col min="7272" max="7272" customWidth="1" width="9.140625"/>
    <col min="7273" max="7273" customWidth="1" width="9.140625"/>
    <col min="7274" max="7274" customWidth="1" width="9.140625"/>
    <col min="7275" max="7275" customWidth="1" width="9.140625"/>
    <col min="7276" max="7276" customWidth="1" width="9.140625"/>
    <col min="7277" max="7277" customWidth="1" width="9.140625"/>
    <col min="7278" max="7278" customWidth="1" width="9.140625"/>
    <col min="7279" max="7279" customWidth="1" width="9.140625"/>
    <col min="7280" max="7280" customWidth="1" width="9.140625"/>
    <col min="7281" max="7281" customWidth="1" width="9.140625"/>
    <col min="7282" max="7282" customWidth="1" width="9.140625"/>
    <col min="7283" max="7283" customWidth="1" width="9.140625"/>
    <col min="7284" max="7284" customWidth="1" width="9.140625"/>
    <col min="7285" max="7285" customWidth="1" width="9.140625"/>
    <col min="7286" max="7286" customWidth="1" width="9.140625"/>
    <col min="7287" max="7287" customWidth="1" width="9.140625"/>
    <col min="7288" max="7288" customWidth="1" width="9.140625"/>
    <col min="7289" max="7289" customWidth="1" width="9.140625"/>
    <col min="7290" max="7290" customWidth="1" width="9.140625"/>
    <col min="7291" max="7291" customWidth="1" width="9.140625"/>
    <col min="7292" max="7292" customWidth="1" width="9.140625"/>
    <col min="7293" max="7293" customWidth="1" width="9.140625"/>
    <col min="7294" max="7294" customWidth="1" width="9.140625"/>
    <col min="7295" max="7295" customWidth="1" width="9.140625"/>
    <col min="7296" max="7296" customWidth="1" width="9.140625"/>
    <col min="7297" max="7297" customWidth="1" width="9.140625"/>
    <col min="7298" max="7298" customWidth="1" width="9.140625"/>
    <col min="7299" max="7299" customWidth="1" width="9.140625"/>
    <col min="7300" max="7300" customWidth="1" width="9.140625"/>
    <col min="7301" max="7301" customWidth="1" width="9.140625"/>
    <col min="7302" max="7302" customWidth="1" width="9.140625"/>
    <col min="7303" max="7303" customWidth="1" width="9.140625"/>
    <col min="7304" max="7304" customWidth="1" width="9.140625"/>
    <col min="7305" max="7305" customWidth="1" width="9.140625"/>
    <col min="7306" max="7306" customWidth="1" width="9.140625"/>
    <col min="7307" max="7307" customWidth="1" width="9.140625"/>
    <col min="7308" max="7308" customWidth="1" width="9.140625"/>
    <col min="7309" max="7309" customWidth="1" width="9.140625"/>
    <col min="7310" max="7310" customWidth="1" width="9.140625"/>
    <col min="7311" max="7311" customWidth="1" width="9.140625"/>
    <col min="7312" max="7312" customWidth="1" width="9.140625"/>
    <col min="7313" max="7313" customWidth="1" width="9.140625"/>
    <col min="7314" max="7314" customWidth="1" width="9.140625"/>
    <col min="7315" max="7315" customWidth="1" width="9.140625"/>
    <col min="7316" max="7316" customWidth="1" width="9.140625"/>
    <col min="7317" max="7317" customWidth="1" width="9.140625"/>
    <col min="7318" max="7318" customWidth="1" width="9.140625"/>
    <col min="7319" max="7319" customWidth="1" width="9.140625"/>
    <col min="7320" max="7320" customWidth="1" width="9.140625"/>
    <col min="7321" max="7321" customWidth="1" width="9.140625"/>
    <col min="7322" max="7322" customWidth="1" width="9.140625"/>
    <col min="7323" max="7323" customWidth="1" width="9.140625"/>
    <col min="7324" max="7324" customWidth="1" width="9.140625"/>
    <col min="7325" max="7325" customWidth="1" width="9.140625"/>
    <col min="7326" max="7326" customWidth="1" width="9.140625"/>
    <col min="7327" max="7327" customWidth="1" width="9.140625"/>
    <col min="7328" max="7328" customWidth="1" width="9.140625"/>
    <col min="7329" max="7329" customWidth="1" width="9.140625"/>
    <col min="7330" max="7330" customWidth="1" width="9.140625"/>
    <col min="7331" max="7331" customWidth="1" width="9.140625"/>
    <col min="7332" max="7332" customWidth="1" width="9.140625"/>
    <col min="7333" max="7333" customWidth="1" width="9.140625"/>
    <col min="7334" max="7334" customWidth="1" width="9.140625"/>
    <col min="7335" max="7335" customWidth="1" width="9.140625"/>
    <col min="7336" max="7336" customWidth="1" width="9.140625"/>
    <col min="7337" max="7337" customWidth="1" width="9.140625"/>
    <col min="7338" max="7338" customWidth="1" width="9.140625"/>
    <col min="7339" max="7339" customWidth="1" width="9.140625"/>
    <col min="7340" max="7340" customWidth="1" width="9.140625"/>
    <col min="7341" max="7341" customWidth="1" width="9.140625"/>
    <col min="7342" max="7342" customWidth="1" width="9.140625"/>
    <col min="7343" max="7343" customWidth="1" width="9.140625"/>
    <col min="7344" max="7344" customWidth="1" width="9.140625"/>
    <col min="7345" max="7345" customWidth="1" width="9.140625"/>
    <col min="7346" max="7346" customWidth="1" width="9.140625"/>
    <col min="7347" max="7347" customWidth="1" width="9.140625"/>
    <col min="7348" max="7348" customWidth="1" width="9.140625"/>
    <col min="7349" max="7349" customWidth="1" width="9.140625"/>
    <col min="7350" max="7350" customWidth="1" width="9.140625"/>
    <col min="7351" max="7351" customWidth="1" width="9.140625"/>
    <col min="7352" max="7352" customWidth="1" width="9.140625"/>
    <col min="7353" max="7353" customWidth="1" width="9.140625"/>
    <col min="7354" max="7354" customWidth="1" width="9.140625"/>
    <col min="7355" max="7355" customWidth="1" width="9.140625"/>
    <col min="7356" max="7356" customWidth="1" width="9.140625"/>
    <col min="7357" max="7357" customWidth="1" width="9.140625"/>
    <col min="7358" max="7358" customWidth="1" width="9.140625"/>
    <col min="7359" max="7359" customWidth="1" width="9.140625"/>
    <col min="7360" max="7360" customWidth="1" width="9.140625"/>
    <col min="7361" max="7361" customWidth="1" width="9.140625"/>
    <col min="7362" max="7362" customWidth="1" width="9.140625"/>
    <col min="7363" max="7363" customWidth="1" width="9.140625"/>
    <col min="7364" max="7364" customWidth="1" width="9.140625"/>
    <col min="7365" max="7365" customWidth="1" width="9.140625"/>
    <col min="7366" max="7366" customWidth="1" width="9.140625"/>
    <col min="7367" max="7367" customWidth="1" width="9.140625"/>
    <col min="7368" max="7368" customWidth="1" width="9.140625"/>
    <col min="7369" max="7369" customWidth="1" width="9.140625"/>
    <col min="7370" max="7370" customWidth="1" width="9.140625"/>
    <col min="7371" max="7371" customWidth="1" width="9.140625"/>
    <col min="7372" max="7372" customWidth="1" width="9.140625"/>
    <col min="7373" max="7373" customWidth="1" width="9.140625"/>
    <col min="7374" max="7374" customWidth="1" width="9.140625"/>
    <col min="7375" max="7375" customWidth="1" width="9.140625"/>
    <col min="7376" max="7376" customWidth="1" width="9.140625"/>
    <col min="7377" max="7377" customWidth="1" width="9.140625"/>
    <col min="7378" max="7378" customWidth="1" width="9.140625"/>
    <col min="7379" max="7379" customWidth="1" width="9.140625"/>
    <col min="7380" max="7380" customWidth="1" width="9.140625"/>
    <col min="7381" max="7381" customWidth="1" width="9.140625"/>
    <col min="7382" max="7382" customWidth="1" width="9.140625"/>
    <col min="7383" max="7383" customWidth="1" width="9.140625"/>
    <col min="7384" max="7384" customWidth="1" width="9.140625"/>
    <col min="7385" max="7385" customWidth="1" width="9.140625"/>
    <col min="7386" max="7386" customWidth="1" width="9.140625"/>
    <col min="7387" max="7387" customWidth="1" width="9.140625"/>
    <col min="7388" max="7388" customWidth="1" width="9.140625"/>
    <col min="7389" max="7389" customWidth="1" width="9.140625"/>
    <col min="7390" max="7390" customWidth="1" width="9.140625"/>
    <col min="7391" max="7391" customWidth="1" width="9.140625"/>
    <col min="7392" max="7392" customWidth="1" width="9.140625"/>
    <col min="7393" max="7393" customWidth="1" width="9.140625"/>
    <col min="7394" max="7394" customWidth="1" width="9.140625"/>
    <col min="7395" max="7395" customWidth="1" width="9.140625"/>
    <col min="7396" max="7396" customWidth="1" width="9.140625"/>
    <col min="7397" max="7397" customWidth="1" width="9.140625"/>
    <col min="7398" max="7398" customWidth="1" width="9.140625"/>
    <col min="7399" max="7399" customWidth="1" width="9.140625"/>
    <col min="7400" max="7400" customWidth="1" width="9.140625"/>
    <col min="7401" max="7401" customWidth="1" width="9.140625"/>
    <col min="7402" max="7402" customWidth="1" width="9.140625"/>
    <col min="7403" max="7403" customWidth="1" width="9.140625"/>
    <col min="7404" max="7404" customWidth="1" width="9.140625"/>
    <col min="7405" max="7405" customWidth="1" width="9.140625"/>
    <col min="7406" max="7406" customWidth="1" width="9.140625"/>
    <col min="7407" max="7407" customWidth="1" width="9.140625"/>
    <col min="7408" max="7408" customWidth="1" width="9.140625"/>
    <col min="7409" max="7409" customWidth="1" width="9.140625"/>
    <col min="7410" max="7410" customWidth="1" width="9.140625"/>
    <col min="7411" max="7411" customWidth="1" width="9.140625"/>
    <col min="7412" max="7412" customWidth="1" width="9.140625"/>
    <col min="7413" max="7413" customWidth="1" width="9.140625"/>
    <col min="7414" max="7414" customWidth="1" width="9.140625"/>
    <col min="7415" max="7415" customWidth="1" width="9.140625"/>
    <col min="7416" max="7416" customWidth="1" width="9.140625"/>
    <col min="7417" max="7417" customWidth="1" width="9.140625"/>
    <col min="7418" max="7418" customWidth="1" width="9.140625"/>
    <col min="7419" max="7419" customWidth="1" width="9.140625"/>
    <col min="7420" max="7420" customWidth="1" width="9.140625"/>
    <col min="7421" max="7421" customWidth="1" width="9.140625"/>
    <col min="7422" max="7422" customWidth="1" width="9.140625"/>
    <col min="7423" max="7423" customWidth="1" width="9.140625"/>
    <col min="7424" max="7424" customWidth="1" width="9.140625"/>
    <col min="7425" max="7425" customWidth="1" width="9.140625"/>
    <col min="7426" max="7426" customWidth="1" width="9.140625"/>
    <col min="7427" max="7427" customWidth="1" width="9.140625"/>
    <col min="7428" max="7428" customWidth="1" width="9.140625"/>
    <col min="7429" max="7429" customWidth="1" width="9.140625"/>
    <col min="7430" max="7430" customWidth="1" width="9.140625"/>
    <col min="7431" max="7431" customWidth="1" width="9.140625"/>
    <col min="7432" max="7432" customWidth="1" width="9.140625"/>
    <col min="7433" max="7433" customWidth="1" width="9.140625"/>
    <col min="7434" max="7434" customWidth="1" width="9.140625"/>
    <col min="7435" max="7435" customWidth="1" width="9.140625"/>
    <col min="7436" max="7436" customWidth="1" width="9.140625"/>
    <col min="7437" max="7437" customWidth="1" width="9.140625"/>
    <col min="7438" max="7438" customWidth="1" width="9.140625"/>
    <col min="7439" max="7439" customWidth="1" width="9.140625"/>
    <col min="7440" max="7440" customWidth="1" width="9.140625"/>
    <col min="7441" max="7441" customWidth="1" width="9.140625"/>
    <col min="7442" max="7442" customWidth="1" width="9.140625"/>
    <col min="7443" max="7443" customWidth="1" width="9.140625"/>
    <col min="7444" max="7444" customWidth="1" width="9.140625"/>
    <col min="7445" max="7445" customWidth="1" width="9.140625"/>
    <col min="7446" max="7446" customWidth="1" width="9.140625"/>
    <col min="7447" max="7447" customWidth="1" width="9.140625"/>
    <col min="7448" max="7448" customWidth="1" width="9.140625"/>
    <col min="7449" max="7449" customWidth="1" width="9.140625"/>
    <col min="7450" max="7450" customWidth="1" width="9.140625"/>
    <col min="7451" max="7451" customWidth="1" width="9.140625"/>
    <col min="7452" max="7452" customWidth="1" width="9.140625"/>
    <col min="7453" max="7453" customWidth="1" width="9.140625"/>
    <col min="7454" max="7454" customWidth="1" width="9.140625"/>
    <col min="7455" max="7455" customWidth="1" width="9.140625"/>
    <col min="7456" max="7456" customWidth="1" width="9.140625"/>
    <col min="7457" max="7457" customWidth="1" width="9.140625"/>
    <col min="7458" max="7458" customWidth="1" width="9.140625"/>
    <col min="7459" max="7459" customWidth="1" width="9.140625"/>
    <col min="7460" max="7460" customWidth="1" width="9.140625"/>
    <col min="7461" max="7461" customWidth="1" width="9.140625"/>
    <col min="7462" max="7462" customWidth="1" width="9.140625"/>
    <col min="7463" max="7463" customWidth="1" width="9.140625"/>
    <col min="7464" max="7464" customWidth="1" width="9.140625"/>
    <col min="7465" max="7465" customWidth="1" width="9.140625"/>
    <col min="7466" max="7466" customWidth="1" width="9.140625"/>
    <col min="7467" max="7467" customWidth="1" width="9.140625"/>
    <col min="7468" max="7468" customWidth="1" width="9.140625"/>
    <col min="7469" max="7469" customWidth="1" width="9.140625"/>
    <col min="7470" max="7470" customWidth="1" width="9.140625"/>
    <col min="7471" max="7471" customWidth="1" width="9.140625"/>
    <col min="7472" max="7472" customWidth="1" width="9.140625"/>
    <col min="7473" max="7473" customWidth="1" width="9.140625"/>
    <col min="7474" max="7474" customWidth="1" width="9.140625"/>
    <col min="7475" max="7475" customWidth="1" width="9.140625"/>
    <col min="7476" max="7476" customWidth="1" width="9.140625"/>
    <col min="7477" max="7477" customWidth="1" width="9.140625"/>
    <col min="7478" max="7478" customWidth="1" width="9.140625"/>
    <col min="7479" max="7479" customWidth="1" width="9.140625"/>
    <col min="7480" max="7480" customWidth="1" width="9.140625"/>
    <col min="7481" max="7481" customWidth="1" width="9.140625"/>
    <col min="7482" max="7482" customWidth="1" width="9.140625"/>
    <col min="7483" max="7483" customWidth="1" width="9.140625"/>
    <col min="7484" max="7484" customWidth="1" width="9.140625"/>
    <col min="7485" max="7485" customWidth="1" width="9.140625"/>
    <col min="7486" max="7486" customWidth="1" width="9.140625"/>
    <col min="7487" max="7487" customWidth="1" width="9.140625"/>
    <col min="7488" max="7488" customWidth="1" width="9.140625"/>
    <col min="7489" max="7489" customWidth="1" width="9.140625"/>
    <col min="7490" max="7490" customWidth="1" width="9.140625"/>
    <col min="7491" max="7491" customWidth="1" width="9.140625"/>
    <col min="7492" max="7492" customWidth="1" width="9.140625"/>
    <col min="7493" max="7493" customWidth="1" width="9.140625"/>
    <col min="7494" max="7494" customWidth="1" width="9.140625"/>
    <col min="7495" max="7495" customWidth="1" width="9.140625"/>
    <col min="7496" max="7496" customWidth="1" width="9.140625"/>
    <col min="7497" max="7497" customWidth="1" width="9.140625"/>
    <col min="7498" max="7498" customWidth="1" width="9.140625"/>
    <col min="7499" max="7499" customWidth="1" width="9.140625"/>
    <col min="7500" max="7500" customWidth="1" width="9.140625"/>
    <col min="7501" max="7501" customWidth="1" width="9.140625"/>
    <col min="7502" max="7502" customWidth="1" width="9.140625"/>
    <col min="7503" max="7503" customWidth="1" width="9.140625"/>
    <col min="7504" max="7504" customWidth="1" width="9.140625"/>
    <col min="7505" max="7505" customWidth="1" width="9.140625"/>
    <col min="7506" max="7506" customWidth="1" width="9.140625"/>
    <col min="7507" max="7507" customWidth="1" width="9.140625"/>
    <col min="7508" max="7508" customWidth="1" width="9.140625"/>
    <col min="7509" max="7509" customWidth="1" width="9.140625"/>
    <col min="7510" max="7510" customWidth="1" width="9.140625"/>
    <col min="7511" max="7511" customWidth="1" width="9.140625"/>
    <col min="7512" max="7512" customWidth="1" width="9.140625"/>
    <col min="7513" max="7513" customWidth="1" width="9.140625"/>
    <col min="7514" max="7514" customWidth="1" width="9.140625"/>
    <col min="7515" max="7515" customWidth="1" width="9.140625"/>
    <col min="7516" max="7516" customWidth="1" width="9.140625"/>
    <col min="7517" max="7517" customWidth="1" width="9.140625"/>
    <col min="7518" max="7518" customWidth="1" width="9.140625"/>
    <col min="7519" max="7519" customWidth="1" width="9.140625"/>
    <col min="7520" max="7520" customWidth="1" width="9.140625"/>
    <col min="7521" max="7521" customWidth="1" width="9.140625"/>
    <col min="7522" max="7522" customWidth="1" width="9.140625"/>
    <col min="7523" max="7523" customWidth="1" width="9.140625"/>
    <col min="7524" max="7524" customWidth="1" width="9.140625"/>
    <col min="7525" max="7525" customWidth="1" width="9.140625"/>
    <col min="7526" max="7526" customWidth="1" width="9.140625"/>
    <col min="7527" max="7527" customWidth="1" width="9.140625"/>
    <col min="7528" max="7528" customWidth="1" width="9.140625"/>
    <col min="7529" max="7529" customWidth="1" width="9.140625"/>
    <col min="7530" max="7530" customWidth="1" width="9.140625"/>
    <col min="7531" max="7531" customWidth="1" width="9.140625"/>
    <col min="7532" max="7532" customWidth="1" width="9.140625"/>
    <col min="7533" max="7533" customWidth="1" width="9.140625"/>
    <col min="7534" max="7534" customWidth="1" width="9.140625"/>
    <col min="7535" max="7535" customWidth="1" width="9.140625"/>
    <col min="7536" max="7536" customWidth="1" width="9.140625"/>
    <col min="7537" max="7537" customWidth="1" width="9.140625"/>
    <col min="7538" max="7538" customWidth="1" width="9.140625"/>
    <col min="7539" max="7539" customWidth="1" width="9.140625"/>
    <col min="7540" max="7540" customWidth="1" width="9.140625"/>
    <col min="7541" max="7541" customWidth="1" width="9.140625"/>
    <col min="7542" max="7542" customWidth="1" width="9.140625"/>
    <col min="7543" max="7543" customWidth="1" width="9.140625"/>
    <col min="7544" max="7544" customWidth="1" width="9.140625"/>
    <col min="7545" max="7545" customWidth="1" width="9.140625"/>
    <col min="7546" max="7546" customWidth="1" width="9.140625"/>
    <col min="7547" max="7547" customWidth="1" width="9.140625"/>
    <col min="7548" max="7548" customWidth="1" width="9.140625"/>
    <col min="7549" max="7549" customWidth="1" width="9.140625"/>
    <col min="7550" max="7550" customWidth="1" width="9.140625"/>
    <col min="7551" max="7551" customWidth="1" width="9.140625"/>
    <col min="7552" max="7552" customWidth="1" width="9.140625"/>
    <col min="7553" max="7553" customWidth="1" width="9.140625"/>
    <col min="7554" max="7554" customWidth="1" width="9.140625"/>
    <col min="7555" max="7555" customWidth="1" width="9.140625"/>
    <col min="7556" max="7556" customWidth="1" width="9.140625"/>
    <col min="7557" max="7557" customWidth="1" width="9.140625"/>
    <col min="7558" max="7558" customWidth="1" width="9.140625"/>
    <col min="7559" max="7559" customWidth="1" width="9.140625"/>
    <col min="7560" max="7560" customWidth="1" width="9.140625"/>
    <col min="7561" max="7561" customWidth="1" width="9.140625"/>
    <col min="7562" max="7562" customWidth="1" width="9.140625"/>
    <col min="7563" max="7563" customWidth="1" width="9.140625"/>
    <col min="7564" max="7564" customWidth="1" width="9.140625"/>
    <col min="7565" max="7565" customWidth="1" width="9.140625"/>
    <col min="7566" max="7566" customWidth="1" width="9.140625"/>
    <col min="7567" max="7567" customWidth="1" width="9.140625"/>
    <col min="7568" max="7568" customWidth="1" width="9.140625"/>
    <col min="7569" max="7569" customWidth="1" width="9.140625"/>
    <col min="7570" max="7570" customWidth="1" width="9.140625"/>
    <col min="7571" max="7571" customWidth="1" width="9.140625"/>
    <col min="7572" max="7572" customWidth="1" width="9.140625"/>
    <col min="7573" max="7573" customWidth="1" width="9.140625"/>
    <col min="7574" max="7574" customWidth="1" width="9.140625"/>
    <col min="7575" max="7575" customWidth="1" width="9.140625"/>
    <col min="7576" max="7576" customWidth="1" width="9.140625"/>
    <col min="7577" max="7577" customWidth="1" width="9.140625"/>
    <col min="7578" max="7578" customWidth="1" width="9.140625"/>
    <col min="7579" max="7579" customWidth="1" width="9.140625"/>
    <col min="7580" max="7580" customWidth="1" width="9.140625"/>
    <col min="7581" max="7581" customWidth="1" width="9.140625"/>
    <col min="7582" max="7582" customWidth="1" width="9.140625"/>
    <col min="7583" max="7583" customWidth="1" width="9.140625"/>
    <col min="7584" max="7584" customWidth="1" width="9.140625"/>
    <col min="7585" max="7585" customWidth="1" width="9.140625"/>
    <col min="7586" max="7586" customWidth="1" width="9.140625"/>
    <col min="7587" max="7587" customWidth="1" width="9.140625"/>
    <col min="7588" max="7588" customWidth="1" width="9.140625"/>
    <col min="7589" max="7589" customWidth="1" width="9.140625"/>
    <col min="7590" max="7590" customWidth="1" width="9.140625"/>
    <col min="7591" max="7591" customWidth="1" width="9.140625"/>
    <col min="7592" max="7592" customWidth="1" width="9.140625"/>
    <col min="7593" max="7593" customWidth="1" width="9.140625"/>
    <col min="7594" max="7594" customWidth="1" width="9.140625"/>
    <col min="7595" max="7595" customWidth="1" width="9.140625"/>
    <col min="7596" max="7596" customWidth="1" width="9.140625"/>
    <col min="7597" max="7597" customWidth="1" width="9.140625"/>
    <col min="7598" max="7598" customWidth="1" width="9.140625"/>
    <col min="7599" max="7599" customWidth="1" width="9.140625"/>
    <col min="7600" max="7600" customWidth="1" width="9.140625"/>
    <col min="7601" max="7601" customWidth="1" width="9.140625"/>
    <col min="7602" max="7602" customWidth="1" width="9.140625"/>
    <col min="7603" max="7603" customWidth="1" width="9.140625"/>
    <col min="7604" max="7604" customWidth="1" width="9.140625"/>
    <col min="7605" max="7605" customWidth="1" width="9.140625"/>
    <col min="7606" max="7606" customWidth="1" width="9.140625"/>
    <col min="7607" max="7607" customWidth="1" width="9.140625"/>
    <col min="7608" max="7608" customWidth="1" width="9.140625"/>
    <col min="7609" max="7609" customWidth="1" width="9.140625"/>
    <col min="7610" max="7610" customWidth="1" width="9.140625"/>
    <col min="7611" max="7611" customWidth="1" width="9.140625"/>
    <col min="7612" max="7612" customWidth="1" width="9.140625"/>
    <col min="7613" max="7613" customWidth="1" width="9.140625"/>
    <col min="7614" max="7614" customWidth="1" width="9.140625"/>
    <col min="7615" max="7615" customWidth="1" width="9.140625"/>
    <col min="7616" max="7616" customWidth="1" width="9.140625"/>
    <col min="7617" max="7617" customWidth="1" width="9.140625"/>
    <col min="7618" max="7618" customWidth="1" width="9.140625"/>
    <col min="7619" max="7619" customWidth="1" width="9.140625"/>
    <col min="7620" max="7620" customWidth="1" width="9.140625"/>
    <col min="7621" max="7621" customWidth="1" width="9.140625"/>
    <col min="7622" max="7622" customWidth="1" width="9.140625"/>
    <col min="7623" max="7623" customWidth="1" width="9.140625"/>
    <col min="7624" max="7624" customWidth="1" width="9.140625"/>
    <col min="7625" max="7625" customWidth="1" width="9.140625"/>
    <col min="7626" max="7626" customWidth="1" width="9.140625"/>
    <col min="7627" max="7627" customWidth="1" width="9.140625"/>
    <col min="7628" max="7628" customWidth="1" width="9.140625"/>
    <col min="7629" max="7629" customWidth="1" width="9.140625"/>
    <col min="7630" max="7630" customWidth="1" width="9.140625"/>
    <col min="7631" max="7631" customWidth="1" width="9.140625"/>
    <col min="7632" max="7632" customWidth="1" width="9.140625"/>
    <col min="7633" max="7633" customWidth="1" width="9.140625"/>
    <col min="7634" max="7634" customWidth="1" width="9.140625"/>
    <col min="7635" max="7635" customWidth="1" width="9.140625"/>
    <col min="7636" max="7636" customWidth="1" width="9.140625"/>
    <col min="7637" max="7637" customWidth="1" width="9.140625"/>
    <col min="7638" max="7638" customWidth="1" width="9.140625"/>
    <col min="7639" max="7639" customWidth="1" width="9.140625"/>
    <col min="7640" max="7640" customWidth="1" width="9.140625"/>
    <col min="7641" max="7641" customWidth="1" width="9.140625"/>
    <col min="7642" max="7642" customWidth="1" width="9.140625"/>
    <col min="7643" max="7643" customWidth="1" width="9.140625"/>
    <col min="7644" max="7644" customWidth="1" width="9.140625"/>
    <col min="7645" max="7645" customWidth="1" width="9.140625"/>
    <col min="7646" max="7646" customWidth="1" width="9.140625"/>
    <col min="7647" max="7647" customWidth="1" width="9.140625"/>
    <col min="7648" max="7648" customWidth="1" width="9.140625"/>
    <col min="7649" max="7649" customWidth="1" width="9.140625"/>
    <col min="7650" max="7650" customWidth="1" width="9.140625"/>
    <col min="7651" max="7651" customWidth="1" width="9.140625"/>
    <col min="7652" max="7652" customWidth="1" width="9.140625"/>
    <col min="7653" max="7653" customWidth="1" width="9.140625"/>
    <col min="7654" max="7654" customWidth="1" width="9.140625"/>
    <col min="7655" max="7655" customWidth="1" width="9.140625"/>
    <col min="7656" max="7656" customWidth="1" width="9.140625"/>
    <col min="7657" max="7657" customWidth="1" width="9.140625"/>
    <col min="7658" max="7658" customWidth="1" width="9.140625"/>
    <col min="7659" max="7659" customWidth="1" width="9.140625"/>
    <col min="7660" max="7660" customWidth="1" width="9.140625"/>
    <col min="7661" max="7661" customWidth="1" width="9.140625"/>
    <col min="7662" max="7662" customWidth="1" width="9.140625"/>
    <col min="7663" max="7663" customWidth="1" width="9.140625"/>
    <col min="7664" max="7664" customWidth="1" width="9.140625"/>
    <col min="7665" max="7665" customWidth="1" width="9.140625"/>
    <col min="7666" max="7666" customWidth="1" width="9.140625"/>
    <col min="7667" max="7667" customWidth="1" width="9.140625"/>
    <col min="7668" max="7668" customWidth="1" width="9.140625"/>
    <col min="7669" max="7669" customWidth="1" width="9.140625"/>
    <col min="7670" max="7670" customWidth="1" width="9.140625"/>
    <col min="7671" max="7671" customWidth="1" width="9.140625"/>
    <col min="7672" max="7672" customWidth="1" width="9.140625"/>
    <col min="7673" max="7673" customWidth="1" width="9.140625"/>
    <col min="7674" max="7674" customWidth="1" width="9.140625"/>
    <col min="7675" max="7675" customWidth="1" width="9.140625"/>
    <col min="7676" max="7676" customWidth="1" width="9.140625"/>
    <col min="7677" max="7677" customWidth="1" width="9.140625"/>
    <col min="7678" max="7678" customWidth="1" width="9.140625"/>
    <col min="7679" max="7679" customWidth="1" width="9.140625"/>
    <col min="7680" max="7680" customWidth="1" width="9.140625"/>
    <col min="7681" max="7681" customWidth="1" width="9.140625"/>
    <col min="7682" max="7682" customWidth="1" width="9.140625"/>
    <col min="7683" max="7683" customWidth="1" width="9.140625"/>
    <col min="7684" max="7684" customWidth="1" width="9.140625"/>
    <col min="7685" max="7685" customWidth="1" width="9.140625"/>
    <col min="7686" max="7686" customWidth="1" width="9.140625"/>
    <col min="7687" max="7687" customWidth="1" width="9.140625"/>
    <col min="7688" max="7688" customWidth="1" width="9.140625"/>
    <col min="7689" max="7689" customWidth="1" width="9.140625"/>
    <col min="7690" max="7690" customWidth="1" width="9.140625"/>
    <col min="7691" max="7691" customWidth="1" width="9.140625"/>
    <col min="7692" max="7692" customWidth="1" width="9.140625"/>
    <col min="7693" max="7693" customWidth="1" width="9.140625"/>
    <col min="7694" max="7694" customWidth="1" width="9.140625"/>
    <col min="7695" max="7695" customWidth="1" width="9.140625"/>
    <col min="7696" max="7696" customWidth="1" width="9.140625"/>
    <col min="7697" max="7697" customWidth="1" width="9.140625"/>
    <col min="7698" max="7698" customWidth="1" width="9.140625"/>
    <col min="7699" max="7699" customWidth="1" width="9.140625"/>
    <col min="7700" max="7700" customWidth="1" width="9.140625"/>
    <col min="7701" max="7701" customWidth="1" width="9.140625"/>
    <col min="7702" max="7702" customWidth="1" width="9.140625"/>
    <col min="7703" max="7703" customWidth="1" width="9.140625"/>
    <col min="7704" max="7704" customWidth="1" width="9.140625"/>
    <col min="7705" max="7705" customWidth="1" width="9.140625"/>
    <col min="7706" max="7706" customWidth="1" width="9.140625"/>
    <col min="7707" max="7707" customWidth="1" width="9.140625"/>
    <col min="7708" max="7708" customWidth="1" width="9.140625"/>
    <col min="7709" max="7709" customWidth="1" width="9.140625"/>
    <col min="7710" max="7710" customWidth="1" width="9.140625"/>
    <col min="7711" max="7711" customWidth="1" width="9.140625"/>
    <col min="7712" max="7712" customWidth="1" width="9.140625"/>
    <col min="7713" max="7713" customWidth="1" width="9.140625"/>
    <col min="7714" max="7714" customWidth="1" width="9.140625"/>
    <col min="7715" max="7715" customWidth="1" width="9.140625"/>
    <col min="7716" max="7716" customWidth="1" width="9.140625"/>
    <col min="7717" max="7717" customWidth="1" width="9.140625"/>
    <col min="7718" max="7718" customWidth="1" width="9.140625"/>
    <col min="7719" max="7719" customWidth="1" width="9.140625"/>
    <col min="7720" max="7720" customWidth="1" width="9.140625"/>
    <col min="7721" max="7721" customWidth="1" width="9.140625"/>
    <col min="7722" max="7722" customWidth="1" width="9.140625"/>
    <col min="7723" max="7723" customWidth="1" width="9.140625"/>
    <col min="7724" max="7724" customWidth="1" width="9.140625"/>
    <col min="7725" max="7725" customWidth="1" width="9.140625"/>
    <col min="7726" max="7726" customWidth="1" width="9.140625"/>
    <col min="7727" max="7727" customWidth="1" width="9.140625"/>
    <col min="7728" max="7728" customWidth="1" width="9.140625"/>
    <col min="7729" max="7729" customWidth="1" width="9.140625"/>
    <col min="7730" max="7730" customWidth="1" width="9.140625"/>
    <col min="7731" max="7731" customWidth="1" width="9.140625"/>
    <col min="7732" max="7732" customWidth="1" width="9.140625"/>
    <col min="7733" max="7733" customWidth="1" width="9.140625"/>
    <col min="7734" max="7734" customWidth="1" width="9.140625"/>
    <col min="7735" max="7735" customWidth="1" width="9.140625"/>
    <col min="7736" max="7736" customWidth="1" width="9.140625"/>
    <col min="7737" max="7737" customWidth="1" width="9.140625"/>
    <col min="7738" max="7738" customWidth="1" width="9.140625"/>
    <col min="7739" max="7739" customWidth="1" width="9.140625"/>
    <col min="7740" max="7740" customWidth="1" width="9.140625"/>
    <col min="7741" max="7741" customWidth="1" width="9.140625"/>
    <col min="7742" max="7742" customWidth="1" width="9.140625"/>
    <col min="7743" max="7743" customWidth="1" width="9.140625"/>
    <col min="7744" max="7744" customWidth="1" width="9.140625"/>
    <col min="7745" max="7745" customWidth="1" width="9.140625"/>
    <col min="7746" max="7746" customWidth="1" width="9.140625"/>
    <col min="7747" max="7747" customWidth="1" width="9.140625"/>
    <col min="7748" max="7748" customWidth="1" width="9.140625"/>
    <col min="7749" max="7749" customWidth="1" width="9.140625"/>
    <col min="7750" max="7750" customWidth="1" width="9.140625"/>
    <col min="7751" max="7751" customWidth="1" width="9.140625"/>
    <col min="7752" max="7752" customWidth="1" width="9.140625"/>
    <col min="7753" max="7753" customWidth="1" width="9.140625"/>
    <col min="7754" max="7754" customWidth="1" width="9.140625"/>
    <col min="7755" max="7755" customWidth="1" width="9.140625"/>
    <col min="7756" max="7756" customWidth="1" width="9.140625"/>
    <col min="7757" max="7757" customWidth="1" width="9.140625"/>
    <col min="7758" max="7758" customWidth="1" width="9.140625"/>
    <col min="7759" max="7759" customWidth="1" width="9.140625"/>
    <col min="7760" max="7760" customWidth="1" width="9.140625"/>
    <col min="7761" max="7761" customWidth="1" width="9.140625"/>
    <col min="7762" max="7762" customWidth="1" width="9.140625"/>
    <col min="7763" max="7763" customWidth="1" width="9.140625"/>
    <col min="7764" max="7764" customWidth="1" width="9.140625"/>
    <col min="7765" max="7765" customWidth="1" width="9.140625"/>
    <col min="7766" max="7766" customWidth="1" width="9.140625"/>
    <col min="7767" max="7767" customWidth="1" width="9.140625"/>
    <col min="7768" max="7768" customWidth="1" width="9.140625"/>
    <col min="7769" max="7769" customWidth="1" width="9.140625"/>
    <col min="7770" max="7770" customWidth="1" width="9.140625"/>
    <col min="7771" max="7771" customWidth="1" width="9.140625"/>
    <col min="7772" max="7772" customWidth="1" width="9.140625"/>
    <col min="7773" max="7773" customWidth="1" width="9.140625"/>
    <col min="7774" max="7774" customWidth="1" width="9.140625"/>
    <col min="7775" max="7775" customWidth="1" width="9.140625"/>
    <col min="7776" max="7776" customWidth="1" width="9.140625"/>
    <col min="7777" max="7777" customWidth="1" width="9.140625"/>
    <col min="7778" max="7778" customWidth="1" width="9.140625"/>
    <col min="7779" max="7779" customWidth="1" width="9.140625"/>
    <col min="7780" max="7780" customWidth="1" width="9.140625"/>
    <col min="7781" max="7781" customWidth="1" width="9.140625"/>
    <col min="7782" max="7782" customWidth="1" width="9.140625"/>
    <col min="7783" max="7783" customWidth="1" width="9.140625"/>
    <col min="7784" max="7784" customWidth="1" width="9.140625"/>
    <col min="7785" max="7785" customWidth="1" width="9.140625"/>
    <col min="7786" max="7786" customWidth="1" width="9.140625"/>
    <col min="7787" max="7787" customWidth="1" width="9.140625"/>
    <col min="7788" max="7788" customWidth="1" width="9.140625"/>
    <col min="7789" max="7789" customWidth="1" width="9.140625"/>
    <col min="7790" max="7790" customWidth="1" width="9.140625"/>
    <col min="7791" max="7791" customWidth="1" width="9.140625"/>
    <col min="7792" max="7792" customWidth="1" width="9.140625"/>
    <col min="7793" max="7793" customWidth="1" width="9.140625"/>
    <col min="7794" max="7794" customWidth="1" width="9.140625"/>
    <col min="7795" max="7795" customWidth="1" width="9.140625"/>
    <col min="7796" max="7796" customWidth="1" width="9.140625"/>
    <col min="7797" max="7797" customWidth="1" width="9.140625"/>
    <col min="7798" max="7798" customWidth="1" width="9.140625"/>
    <col min="7799" max="7799" customWidth="1" width="9.140625"/>
    <col min="7800" max="7800" customWidth="1" width="9.140625"/>
    <col min="7801" max="7801" customWidth="1" width="9.140625"/>
    <col min="7802" max="7802" customWidth="1" width="9.140625"/>
    <col min="7803" max="7803" customWidth="1" width="9.140625"/>
    <col min="7804" max="7804" customWidth="1" width="9.140625"/>
    <col min="7805" max="7805" customWidth="1" width="9.140625"/>
    <col min="7806" max="7806" customWidth="1" width="9.140625"/>
    <col min="7807" max="7807" customWidth="1" width="9.140625"/>
    <col min="7808" max="7808" customWidth="1" width="9.140625"/>
    <col min="7809" max="7809" customWidth="1" width="9.140625"/>
    <col min="7810" max="7810" customWidth="1" width="9.140625"/>
    <col min="7811" max="7811" customWidth="1" width="9.140625"/>
    <col min="7812" max="7812" customWidth="1" width="9.140625"/>
    <col min="7813" max="7813" customWidth="1" width="9.140625"/>
    <col min="7814" max="7814" customWidth="1" width="9.140625"/>
    <col min="7815" max="7815" customWidth="1" width="9.140625"/>
    <col min="7816" max="7816" customWidth="1" width="9.140625"/>
    <col min="7817" max="7817" customWidth="1" width="9.140625"/>
    <col min="7818" max="7818" customWidth="1" width="9.140625"/>
    <col min="7819" max="7819" customWidth="1" width="9.140625"/>
    <col min="7820" max="7820" customWidth="1" width="9.140625"/>
    <col min="7821" max="7821" customWidth="1" width="9.140625"/>
    <col min="7822" max="7822" customWidth="1" width="9.140625"/>
    <col min="7823" max="7823" customWidth="1" width="9.140625"/>
    <col min="7824" max="7824" customWidth="1" width="9.140625"/>
    <col min="7825" max="7825" customWidth="1" width="9.140625"/>
    <col min="7826" max="7826" customWidth="1" width="9.140625"/>
    <col min="7827" max="7827" customWidth="1" width="9.140625"/>
    <col min="7828" max="7828" customWidth="1" width="9.140625"/>
    <col min="7829" max="7829" customWidth="1" width="9.140625"/>
    <col min="7830" max="7830" customWidth="1" width="9.140625"/>
    <col min="7831" max="7831" customWidth="1" width="9.140625"/>
    <col min="7832" max="7832" customWidth="1" width="9.140625"/>
    <col min="7833" max="7833" customWidth="1" width="9.140625"/>
    <col min="7834" max="7834" customWidth="1" width="9.140625"/>
    <col min="7835" max="7835" customWidth="1" width="9.140625"/>
    <col min="7836" max="7836" customWidth="1" width="9.140625"/>
    <col min="7837" max="7837" customWidth="1" width="9.140625"/>
    <col min="7838" max="7838" customWidth="1" width="9.140625"/>
    <col min="7839" max="7839" customWidth="1" width="9.140625"/>
    <col min="7840" max="7840" customWidth="1" width="9.140625"/>
    <col min="7841" max="7841" customWidth="1" width="9.140625"/>
    <col min="7842" max="7842" customWidth="1" width="9.140625"/>
    <col min="7843" max="7843" customWidth="1" width="9.140625"/>
    <col min="7844" max="7844" customWidth="1" width="9.140625"/>
    <col min="7845" max="7845" customWidth="1" width="9.140625"/>
    <col min="7846" max="7846" customWidth="1" width="9.140625"/>
    <col min="7847" max="7847" customWidth="1" width="9.140625"/>
    <col min="7848" max="7848" customWidth="1" width="9.140625"/>
    <col min="7849" max="7849" customWidth="1" width="9.140625"/>
    <col min="7850" max="7850" customWidth="1" width="9.140625"/>
    <col min="7851" max="7851" customWidth="1" width="9.140625"/>
    <col min="7852" max="7852" customWidth="1" width="9.140625"/>
    <col min="7853" max="7853" customWidth="1" width="9.140625"/>
    <col min="7854" max="7854" customWidth="1" width="9.140625"/>
    <col min="7855" max="7855" customWidth="1" width="9.140625"/>
    <col min="7856" max="7856" customWidth="1" width="9.140625"/>
    <col min="7857" max="7857" customWidth="1" width="9.140625"/>
    <col min="7858" max="7858" customWidth="1" width="9.140625"/>
    <col min="7859" max="7859" customWidth="1" width="9.140625"/>
    <col min="7860" max="7860" customWidth="1" width="9.140625"/>
    <col min="7861" max="7861" customWidth="1" width="9.140625"/>
    <col min="7862" max="7862" customWidth="1" width="9.140625"/>
    <col min="7863" max="7863" customWidth="1" width="9.140625"/>
    <col min="7864" max="7864" customWidth="1" width="9.140625"/>
    <col min="7865" max="7865" customWidth="1" width="9.140625"/>
    <col min="7866" max="7866" customWidth="1" width="9.140625"/>
    <col min="7867" max="7867" customWidth="1" width="9.140625"/>
    <col min="7868" max="7868" customWidth="1" width="9.140625"/>
    <col min="7869" max="7869" customWidth="1" width="9.140625"/>
    <col min="7870" max="7870" customWidth="1" width="9.140625"/>
    <col min="7871" max="7871" customWidth="1" width="9.140625"/>
    <col min="7872" max="7872" customWidth="1" width="9.140625"/>
    <col min="7873" max="7873" customWidth="1" width="9.140625"/>
    <col min="7874" max="7874" customWidth="1" width="9.140625"/>
    <col min="7875" max="7875" customWidth="1" width="9.140625"/>
    <col min="7876" max="7876" customWidth="1" width="9.140625"/>
    <col min="7877" max="7877" customWidth="1" width="9.140625"/>
    <col min="7878" max="7878" customWidth="1" width="9.140625"/>
    <col min="7879" max="7879" customWidth="1" width="9.140625"/>
    <col min="7880" max="7880" customWidth="1" width="9.140625"/>
    <col min="7881" max="7881" customWidth="1" width="9.140625"/>
    <col min="7882" max="7882" customWidth="1" width="9.140625"/>
    <col min="7883" max="7883" customWidth="1" width="9.140625"/>
    <col min="7884" max="7884" customWidth="1" width="9.140625"/>
    <col min="7885" max="7885" customWidth="1" width="9.140625"/>
    <col min="7886" max="7886" customWidth="1" width="9.140625"/>
    <col min="7887" max="7887" customWidth="1" width="9.140625"/>
    <col min="7888" max="7888" customWidth="1" width="9.140625"/>
    <col min="7889" max="7889" customWidth="1" width="9.140625"/>
    <col min="7890" max="7890" customWidth="1" width="9.140625"/>
    <col min="7891" max="7891" customWidth="1" width="9.140625"/>
    <col min="7892" max="7892" customWidth="1" width="9.140625"/>
    <col min="7893" max="7893" customWidth="1" width="9.140625"/>
    <col min="7894" max="7894" customWidth="1" width="9.140625"/>
    <col min="7895" max="7895" customWidth="1" width="9.140625"/>
    <col min="7896" max="7896" customWidth="1" width="9.140625"/>
    <col min="7897" max="7897" customWidth="1" width="9.140625"/>
    <col min="7898" max="7898" customWidth="1" width="9.140625"/>
    <col min="7899" max="7899" customWidth="1" width="9.140625"/>
    <col min="7900" max="7900" customWidth="1" width="9.140625"/>
    <col min="7901" max="7901" customWidth="1" width="9.140625"/>
    <col min="7902" max="7902" customWidth="1" width="9.140625"/>
    <col min="7903" max="7903" customWidth="1" width="9.140625"/>
    <col min="7904" max="7904" customWidth="1" width="9.140625"/>
    <col min="7905" max="7905" customWidth="1" width="9.140625"/>
    <col min="7906" max="7906" customWidth="1" width="9.140625"/>
    <col min="7907" max="7907" customWidth="1" width="9.140625"/>
    <col min="7908" max="7908" customWidth="1" width="9.140625"/>
    <col min="7909" max="7909" customWidth="1" width="9.140625"/>
    <col min="7910" max="7910" customWidth="1" width="9.140625"/>
    <col min="7911" max="7911" customWidth="1" width="9.140625"/>
    <col min="7912" max="7912" customWidth="1" width="9.140625"/>
    <col min="7913" max="7913" customWidth="1" width="9.140625"/>
    <col min="7914" max="7914" customWidth="1" width="9.140625"/>
    <col min="7915" max="7915" customWidth="1" width="9.140625"/>
    <col min="7916" max="7916" customWidth="1" width="9.140625"/>
    <col min="7917" max="7917" customWidth="1" width="9.140625"/>
    <col min="7918" max="7918" customWidth="1" width="9.140625"/>
    <col min="7919" max="7919" customWidth="1" width="9.140625"/>
    <col min="7920" max="7920" customWidth="1" width="9.140625"/>
    <col min="7921" max="7921" customWidth="1" width="9.140625"/>
    <col min="7922" max="7922" customWidth="1" width="9.140625"/>
    <col min="7923" max="7923" customWidth="1" width="9.140625"/>
    <col min="7924" max="7924" customWidth="1" width="9.140625"/>
    <col min="7925" max="7925" customWidth="1" width="9.140625"/>
    <col min="7926" max="7926" customWidth="1" width="9.140625"/>
    <col min="7927" max="7927" customWidth="1" width="9.140625"/>
    <col min="7928" max="7928" customWidth="1" width="9.140625"/>
    <col min="7929" max="7929" customWidth="1" width="9.140625"/>
    <col min="7930" max="7930" customWidth="1" width="9.140625"/>
    <col min="7931" max="7931" customWidth="1" width="9.140625"/>
    <col min="7932" max="7932" customWidth="1" width="9.140625"/>
    <col min="7933" max="7933" customWidth="1" width="9.140625"/>
    <col min="7934" max="7934" customWidth="1" width="9.140625"/>
    <col min="7935" max="7935" customWidth="1" width="9.140625"/>
    <col min="7936" max="7936" customWidth="1" width="9.140625"/>
    <col min="7937" max="7937" customWidth="1" width="9.140625"/>
    <col min="7938" max="7938" customWidth="1" width="9.140625"/>
    <col min="7939" max="7939" customWidth="1" width="9.140625"/>
    <col min="7940" max="7940" customWidth="1" width="9.140625"/>
    <col min="7941" max="7941" customWidth="1" width="9.140625"/>
    <col min="7942" max="7942" customWidth="1" width="9.140625"/>
    <col min="7943" max="7943" customWidth="1" width="9.140625"/>
    <col min="7944" max="7944" customWidth="1" width="9.140625"/>
    <col min="7945" max="7945" customWidth="1" width="9.140625"/>
    <col min="7946" max="7946" customWidth="1" width="9.140625"/>
    <col min="7947" max="7947" customWidth="1" width="9.140625"/>
    <col min="7948" max="7948" customWidth="1" width="9.140625"/>
    <col min="7949" max="7949" customWidth="1" width="9.140625"/>
    <col min="7950" max="7950" customWidth="1" width="9.140625"/>
    <col min="7951" max="7951" customWidth="1" width="9.140625"/>
    <col min="7952" max="7952" customWidth="1" width="9.140625"/>
    <col min="7953" max="7953" customWidth="1" width="9.140625"/>
    <col min="7954" max="7954" customWidth="1" width="9.140625"/>
    <col min="7955" max="7955" customWidth="1" width="9.140625"/>
    <col min="7956" max="7956" customWidth="1" width="9.140625"/>
    <col min="7957" max="7957" customWidth="1" width="9.140625"/>
    <col min="7958" max="7958" customWidth="1" width="9.140625"/>
    <col min="7959" max="7959" customWidth="1" width="9.140625"/>
    <col min="7960" max="7960" customWidth="1" width="9.140625"/>
    <col min="7961" max="7961" customWidth="1" width="9.140625"/>
    <col min="7962" max="7962" customWidth="1" width="9.140625"/>
    <col min="7963" max="7963" customWidth="1" width="9.140625"/>
    <col min="7964" max="7964" customWidth="1" width="9.140625"/>
    <col min="7965" max="7965" customWidth="1" width="9.140625"/>
    <col min="7966" max="7966" customWidth="1" width="9.140625"/>
    <col min="7967" max="7967" customWidth="1" width="9.140625"/>
    <col min="7968" max="7968" customWidth="1" width="9.140625"/>
    <col min="7969" max="7969" customWidth="1" width="9.140625"/>
    <col min="7970" max="7970" customWidth="1" width="9.140625"/>
    <col min="7971" max="7971" customWidth="1" width="9.140625"/>
    <col min="7972" max="7972" customWidth="1" width="9.140625"/>
    <col min="7973" max="7973" customWidth="1" width="9.140625"/>
    <col min="7974" max="7974" customWidth="1" width="9.140625"/>
    <col min="7975" max="7975" customWidth="1" width="9.140625"/>
    <col min="7976" max="7976" customWidth="1" width="9.140625"/>
    <col min="7977" max="7977" customWidth="1" width="9.140625"/>
    <col min="7978" max="7978" customWidth="1" width="9.140625"/>
    <col min="7979" max="7979" customWidth="1" width="9.140625"/>
    <col min="7980" max="7980" customWidth="1" width="9.140625"/>
    <col min="7981" max="7981" customWidth="1" width="9.140625"/>
    <col min="7982" max="7982" customWidth="1" width="9.140625"/>
    <col min="7983" max="7983" customWidth="1" width="9.140625"/>
    <col min="7984" max="7984" customWidth="1" width="9.140625"/>
    <col min="7985" max="7985" customWidth="1" width="9.140625"/>
    <col min="7986" max="7986" customWidth="1" width="9.140625"/>
    <col min="7987" max="7987" customWidth="1" width="9.140625"/>
    <col min="7988" max="7988" customWidth="1" width="9.140625"/>
    <col min="7989" max="7989" customWidth="1" width="9.140625"/>
    <col min="7990" max="7990" customWidth="1" width="9.140625"/>
    <col min="7991" max="7991" customWidth="1" width="9.140625"/>
    <col min="7992" max="7992" customWidth="1" width="9.140625"/>
    <col min="7993" max="7993" customWidth="1" width="9.140625"/>
    <col min="7994" max="7994" customWidth="1" width="9.140625"/>
    <col min="7995" max="7995" customWidth="1" width="9.140625"/>
    <col min="7996" max="7996" customWidth="1" width="9.140625"/>
    <col min="7997" max="7997" customWidth="1" width="9.140625"/>
    <col min="7998" max="7998" customWidth="1" width="9.140625"/>
    <col min="7999" max="7999" customWidth="1" width="9.140625"/>
    <col min="8000" max="8000" customWidth="1" width="9.140625"/>
    <col min="8001" max="8001" customWidth="1" width="9.140625"/>
    <col min="8002" max="8002" customWidth="1" width="9.140625"/>
    <col min="8003" max="8003" customWidth="1" width="9.140625"/>
    <col min="8004" max="8004" customWidth="1" width="9.140625"/>
    <col min="8005" max="8005" customWidth="1" width="9.140625"/>
    <col min="8006" max="8006" customWidth="1" width="9.140625"/>
    <col min="8007" max="8007" customWidth="1" width="9.140625"/>
    <col min="8008" max="8008" customWidth="1" width="9.140625"/>
    <col min="8009" max="8009" customWidth="1" width="9.140625"/>
    <col min="8010" max="8010" customWidth="1" width="9.140625"/>
    <col min="8011" max="8011" customWidth="1" width="9.140625"/>
    <col min="8012" max="8012" customWidth="1" width="9.140625"/>
    <col min="8013" max="8013" customWidth="1" width="9.140625"/>
    <col min="8014" max="8014" customWidth="1" width="9.140625"/>
    <col min="8015" max="8015" customWidth="1" width="9.140625"/>
    <col min="8016" max="8016" customWidth="1" width="9.140625"/>
    <col min="8017" max="8017" customWidth="1" width="9.140625"/>
    <col min="8018" max="8018" customWidth="1" width="9.140625"/>
    <col min="8019" max="8019" customWidth="1" width="9.140625"/>
    <col min="8020" max="8020" customWidth="1" width="9.140625"/>
    <col min="8021" max="8021" customWidth="1" width="9.140625"/>
    <col min="8022" max="8022" customWidth="1" width="9.140625"/>
    <col min="8023" max="8023" customWidth="1" width="9.140625"/>
    <col min="8024" max="8024" customWidth="1" width="9.140625"/>
    <col min="8025" max="8025" customWidth="1" width="9.140625"/>
    <col min="8026" max="8026" customWidth="1" width="9.140625"/>
    <col min="8027" max="8027" customWidth="1" width="9.140625"/>
    <col min="8028" max="8028" customWidth="1" width="9.140625"/>
    <col min="8029" max="8029" customWidth="1" width="9.140625"/>
    <col min="8030" max="8030" customWidth="1" width="9.140625"/>
    <col min="8031" max="8031" customWidth="1" width="9.140625"/>
    <col min="8032" max="8032" customWidth="1" width="9.140625"/>
    <col min="8033" max="8033" customWidth="1" width="9.140625"/>
    <col min="8034" max="8034" customWidth="1" width="9.140625"/>
    <col min="8035" max="8035" customWidth="1" width="9.140625"/>
    <col min="8036" max="8036" customWidth="1" width="9.140625"/>
    <col min="8037" max="8037" customWidth="1" width="9.140625"/>
    <col min="8038" max="8038" customWidth="1" width="9.140625"/>
    <col min="8039" max="8039" customWidth="1" width="9.140625"/>
    <col min="8040" max="8040" customWidth="1" width="9.140625"/>
    <col min="8041" max="8041" customWidth="1" width="9.140625"/>
    <col min="8042" max="8042" customWidth="1" width="9.140625"/>
    <col min="8043" max="8043" customWidth="1" width="9.140625"/>
    <col min="8044" max="8044" customWidth="1" width="9.140625"/>
    <col min="8045" max="8045" customWidth="1" width="9.140625"/>
    <col min="8046" max="8046" customWidth="1" width="9.140625"/>
    <col min="8047" max="8047" customWidth="1" width="9.140625"/>
    <col min="8048" max="8048" customWidth="1" width="9.140625"/>
    <col min="8049" max="8049" customWidth="1" width="9.140625"/>
    <col min="8050" max="8050" customWidth="1" width="9.140625"/>
    <col min="8051" max="8051" customWidth="1" width="9.140625"/>
    <col min="8052" max="8052" customWidth="1" width="9.140625"/>
    <col min="8053" max="8053" customWidth="1" width="9.140625"/>
    <col min="8054" max="8054" customWidth="1" width="9.140625"/>
    <col min="8055" max="8055" customWidth="1" width="9.140625"/>
    <col min="8056" max="8056" customWidth="1" width="9.140625"/>
    <col min="8057" max="8057" customWidth="1" width="9.140625"/>
    <col min="8058" max="8058" customWidth="1" width="9.140625"/>
    <col min="8059" max="8059" customWidth="1" width="9.140625"/>
    <col min="8060" max="8060" customWidth="1" width="9.140625"/>
    <col min="8061" max="8061" customWidth="1" width="9.140625"/>
    <col min="8062" max="8062" customWidth="1" width="9.140625"/>
    <col min="8063" max="8063" customWidth="1" width="9.140625"/>
    <col min="8064" max="8064" customWidth="1" width="9.140625"/>
    <col min="8065" max="8065" customWidth="1" width="9.140625"/>
    <col min="8066" max="8066" customWidth="1" width="9.140625"/>
    <col min="8067" max="8067" customWidth="1" width="9.140625"/>
    <col min="8068" max="8068" customWidth="1" width="9.140625"/>
    <col min="8069" max="8069" customWidth="1" width="9.140625"/>
    <col min="8070" max="8070" customWidth="1" width="9.140625"/>
    <col min="8071" max="8071" customWidth="1" width="9.140625"/>
    <col min="8072" max="8072" customWidth="1" width="9.140625"/>
    <col min="8073" max="8073" customWidth="1" width="9.140625"/>
    <col min="8074" max="8074" customWidth="1" width="9.140625"/>
    <col min="8075" max="8075" customWidth="1" width="9.140625"/>
    <col min="8076" max="8076" customWidth="1" width="9.140625"/>
    <col min="8077" max="8077" customWidth="1" width="9.140625"/>
    <col min="8078" max="8078" customWidth="1" width="9.140625"/>
    <col min="8079" max="8079" customWidth="1" width="9.140625"/>
    <col min="8080" max="8080" customWidth="1" width="9.140625"/>
    <col min="8081" max="8081" customWidth="1" width="9.140625"/>
    <col min="8082" max="8082" customWidth="1" width="9.140625"/>
    <col min="8083" max="8083" customWidth="1" width="9.140625"/>
    <col min="8084" max="8084" customWidth="1" width="9.140625"/>
    <col min="8085" max="8085" customWidth="1" width="9.140625"/>
    <col min="8086" max="8086" customWidth="1" width="9.140625"/>
    <col min="8087" max="8087" customWidth="1" width="9.140625"/>
    <col min="8088" max="8088" customWidth="1" width="9.140625"/>
    <col min="8089" max="8089" customWidth="1" width="9.140625"/>
    <col min="8090" max="8090" customWidth="1" width="9.140625"/>
    <col min="8091" max="8091" customWidth="1" width="9.140625"/>
    <col min="8092" max="8092" customWidth="1" width="9.140625"/>
    <col min="8093" max="8093" customWidth="1" width="9.140625"/>
    <col min="8094" max="8094" customWidth="1" width="9.140625"/>
    <col min="8095" max="8095" customWidth="1" width="9.140625"/>
    <col min="8096" max="8096" customWidth="1" width="9.140625"/>
    <col min="8097" max="8097" customWidth="1" width="9.140625"/>
    <col min="8098" max="8098" customWidth="1" width="9.140625"/>
    <col min="8099" max="8099" customWidth="1" width="9.140625"/>
    <col min="8100" max="8100" customWidth="1" width="9.140625"/>
    <col min="8101" max="8101" customWidth="1" width="9.140625"/>
    <col min="8102" max="8102" customWidth="1" width="9.140625"/>
    <col min="8103" max="8103" customWidth="1" width="9.140625"/>
    <col min="8104" max="8104" customWidth="1" width="9.140625"/>
    <col min="8105" max="8105" customWidth="1" width="9.140625"/>
    <col min="8106" max="8106" customWidth="1" width="9.140625"/>
    <col min="8107" max="8107" customWidth="1" width="9.140625"/>
    <col min="8108" max="8108" customWidth="1" width="9.140625"/>
    <col min="8109" max="8109" customWidth="1" width="9.140625"/>
    <col min="8110" max="8110" customWidth="1" width="9.140625"/>
    <col min="8111" max="8111" customWidth="1" width="9.140625"/>
    <col min="8112" max="8112" customWidth="1" width="9.140625"/>
    <col min="8113" max="8113" customWidth="1" width="9.140625"/>
    <col min="8114" max="8114" customWidth="1" width="9.140625"/>
    <col min="8115" max="8115" customWidth="1" width="9.140625"/>
    <col min="8116" max="8116" customWidth="1" width="9.140625"/>
    <col min="8117" max="8117" customWidth="1" width="9.140625"/>
    <col min="8118" max="8118" customWidth="1" width="9.140625"/>
    <col min="8119" max="8119" customWidth="1" width="9.140625"/>
    <col min="8120" max="8120" customWidth="1" width="9.140625"/>
    <col min="8121" max="8121" customWidth="1" width="9.140625"/>
    <col min="8122" max="8122" customWidth="1" width="9.140625"/>
    <col min="8123" max="8123" customWidth="1" width="9.140625"/>
    <col min="8124" max="8124" customWidth="1" width="9.140625"/>
    <col min="8125" max="8125" customWidth="1" width="9.140625"/>
    <col min="8126" max="8126" customWidth="1" width="9.140625"/>
    <col min="8127" max="8127" customWidth="1" width="9.140625"/>
    <col min="8128" max="8128" customWidth="1" width="9.140625"/>
    <col min="8129" max="8129" customWidth="1" width="9.140625"/>
    <col min="8130" max="8130" customWidth="1" width="9.140625"/>
    <col min="8131" max="8131" customWidth="1" width="9.140625"/>
    <col min="8132" max="8132" customWidth="1" width="9.140625"/>
    <col min="8133" max="8133" customWidth="1" width="9.140625"/>
    <col min="8134" max="8134" customWidth="1" width="9.140625"/>
    <col min="8135" max="8135" customWidth="1" width="9.140625"/>
    <col min="8136" max="8136" customWidth="1" width="9.140625"/>
    <col min="8137" max="8137" customWidth="1" width="9.140625"/>
    <col min="8138" max="8138" customWidth="1" width="9.140625"/>
    <col min="8139" max="8139" customWidth="1" width="9.140625"/>
    <col min="8140" max="8140" customWidth="1" width="9.140625"/>
    <col min="8141" max="8141" customWidth="1" width="9.140625"/>
    <col min="8142" max="8142" customWidth="1" width="9.140625"/>
    <col min="8143" max="8143" customWidth="1" width="9.140625"/>
    <col min="8144" max="8144" customWidth="1" width="9.140625"/>
    <col min="8145" max="8145" customWidth="1" width="9.140625"/>
    <col min="8146" max="8146" customWidth="1" width="9.140625"/>
    <col min="8147" max="8147" customWidth="1" width="9.140625"/>
    <col min="8148" max="8148" customWidth="1" width="9.140625"/>
    <col min="8149" max="8149" customWidth="1" width="9.140625"/>
    <col min="8150" max="8150" customWidth="1" width="9.140625"/>
    <col min="8151" max="8151" customWidth="1" width="9.140625"/>
    <col min="8152" max="8152" customWidth="1" width="9.140625"/>
    <col min="8153" max="8153" customWidth="1" width="9.140625"/>
    <col min="8154" max="8154" customWidth="1" width="9.140625"/>
    <col min="8155" max="8155" customWidth="1" width="9.140625"/>
    <col min="8156" max="8156" customWidth="1" width="9.140625"/>
    <col min="8157" max="8157" customWidth="1" width="9.140625"/>
    <col min="8158" max="8158" customWidth="1" width="9.140625"/>
    <col min="8159" max="8159" customWidth="1" width="9.140625"/>
    <col min="8160" max="8160" customWidth="1" width="9.140625"/>
    <col min="8161" max="8161" customWidth="1" width="9.140625"/>
    <col min="8162" max="8162" customWidth="1" width="9.140625"/>
    <col min="8163" max="8163" customWidth="1" width="9.140625"/>
    <col min="8164" max="8164" customWidth="1" width="9.140625"/>
    <col min="8165" max="8165" customWidth="1" width="9.140625"/>
    <col min="8166" max="8166" customWidth="1" width="9.140625"/>
    <col min="8167" max="8167" customWidth="1" width="9.140625"/>
    <col min="8168" max="8168" customWidth="1" width="9.140625"/>
    <col min="8169" max="8169" customWidth="1" width="9.140625"/>
    <col min="8170" max="8170" customWidth="1" width="9.140625"/>
    <col min="8171" max="8171" customWidth="1" width="9.140625"/>
    <col min="8172" max="8172" customWidth="1" width="9.140625"/>
    <col min="8173" max="8173" customWidth="1" width="9.140625"/>
    <col min="8174" max="8174" customWidth="1" width="9.140625"/>
    <col min="8175" max="8175" customWidth="1" width="9.140625"/>
    <col min="8176" max="8176" customWidth="1" width="9.140625"/>
    <col min="8177" max="8177" customWidth="1" width="9.140625"/>
    <col min="8178" max="8178" customWidth="1" width="9.140625"/>
    <col min="8179" max="8179" customWidth="1" width="9.140625"/>
    <col min="8180" max="8180" customWidth="1" width="9.140625"/>
    <col min="8181" max="8181" customWidth="1" width="9.140625"/>
    <col min="8182" max="8182" customWidth="1" width="9.140625"/>
    <col min="8183" max="8183" customWidth="1" width="9.140625"/>
    <col min="8184" max="8184" customWidth="1" width="9.140625"/>
    <col min="8185" max="8185" customWidth="1" width="9.140625"/>
    <col min="8186" max="8186" customWidth="1" width="9.140625"/>
    <col min="8187" max="8187" customWidth="1" width="9.140625"/>
    <col min="8188" max="8188" customWidth="1" width="9.140625"/>
    <col min="8189" max="8189" customWidth="1" width="9.140625"/>
    <col min="8190" max="8190" customWidth="1" width="9.140625"/>
    <col min="8191" max="8191" customWidth="1" width="9.140625"/>
    <col min="8192" max="8192" customWidth="1" width="9.140625"/>
    <col min="8193" max="8193" customWidth="1" width="9.140625"/>
    <col min="8194" max="8194" customWidth="1" width="9.140625"/>
    <col min="8195" max="8195" customWidth="1" width="9.140625"/>
    <col min="8196" max="8196" customWidth="1" width="9.140625"/>
    <col min="8197" max="8197" customWidth="1" width="9.140625"/>
    <col min="8198" max="8198" customWidth="1" width="9.140625"/>
    <col min="8199" max="8199" customWidth="1" width="9.140625"/>
    <col min="8200" max="8200" customWidth="1" width="9.140625"/>
    <col min="8201" max="8201" customWidth="1" width="9.140625"/>
    <col min="8202" max="8202" customWidth="1" width="9.140625"/>
    <col min="8203" max="8203" customWidth="1" width="9.140625"/>
    <col min="8204" max="8204" customWidth="1" width="9.140625"/>
    <col min="8205" max="8205" customWidth="1" width="9.140625"/>
    <col min="8206" max="8206" customWidth="1" width="9.140625"/>
    <col min="8207" max="8207" customWidth="1" width="9.140625"/>
    <col min="8208" max="8208" customWidth="1" width="9.140625"/>
    <col min="8209" max="8209" customWidth="1" width="9.140625"/>
    <col min="8210" max="8210" customWidth="1" width="9.140625"/>
    <col min="8211" max="8211" customWidth="1" width="9.140625"/>
    <col min="8212" max="8212" customWidth="1" width="9.140625"/>
    <col min="8213" max="8213" customWidth="1" width="9.140625"/>
    <col min="8214" max="8214" customWidth="1" width="9.140625"/>
    <col min="8215" max="8215" customWidth="1" width="9.140625"/>
    <col min="8216" max="8216" customWidth="1" width="9.140625"/>
    <col min="8217" max="8217" customWidth="1" width="9.140625"/>
    <col min="8218" max="8218" customWidth="1" width="9.140625"/>
    <col min="8219" max="8219" customWidth="1" width="9.140625"/>
    <col min="8220" max="8220" customWidth="1" width="9.140625"/>
    <col min="8221" max="8221" customWidth="1" width="9.140625"/>
    <col min="8222" max="8222" customWidth="1" width="9.140625"/>
    <col min="8223" max="8223" customWidth="1" width="9.140625"/>
    <col min="8224" max="8224" customWidth="1" width="9.140625"/>
    <col min="8225" max="8225" customWidth="1" width="9.140625"/>
    <col min="8226" max="8226" customWidth="1" width="9.140625"/>
    <col min="8227" max="8227" customWidth="1" width="9.140625"/>
    <col min="8228" max="8228" customWidth="1" width="9.140625"/>
    <col min="8229" max="8229" customWidth="1" width="9.140625"/>
    <col min="8230" max="8230" customWidth="1" width="9.140625"/>
    <col min="8231" max="8231" customWidth="1" width="9.140625"/>
    <col min="8232" max="8232" customWidth="1" width="9.140625"/>
    <col min="8233" max="8233" customWidth="1" width="9.140625"/>
    <col min="8234" max="8234" customWidth="1" width="9.140625"/>
    <col min="8235" max="8235" customWidth="1" width="9.140625"/>
    <col min="8236" max="8236" customWidth="1" width="9.140625"/>
    <col min="8237" max="8237" customWidth="1" width="9.140625"/>
    <col min="8238" max="8238" customWidth="1" width="9.140625"/>
    <col min="8239" max="8239" customWidth="1" width="9.140625"/>
    <col min="8240" max="8240" customWidth="1" width="9.140625"/>
    <col min="8241" max="8241" customWidth="1" width="9.140625"/>
    <col min="8242" max="8242" customWidth="1" width="9.140625"/>
    <col min="8243" max="8243" customWidth="1" width="9.140625"/>
    <col min="8244" max="8244" customWidth="1" width="9.140625"/>
    <col min="8245" max="8245" customWidth="1" width="9.140625"/>
    <col min="8246" max="8246" customWidth="1" width="9.140625"/>
    <col min="8247" max="8247" customWidth="1" width="9.140625"/>
    <col min="8248" max="8248" customWidth="1" width="9.140625"/>
    <col min="8249" max="8249" customWidth="1" width="9.140625"/>
    <col min="8250" max="8250" customWidth="1" width="9.140625"/>
    <col min="8251" max="8251" customWidth="1" width="9.140625"/>
    <col min="8252" max="8252" customWidth="1" width="9.140625"/>
    <col min="8253" max="8253" customWidth="1" width="9.140625"/>
    <col min="8254" max="8254" customWidth="1" width="9.140625"/>
    <col min="8255" max="8255" customWidth="1" width="9.140625"/>
    <col min="8256" max="8256" customWidth="1" width="9.140625"/>
    <col min="8257" max="8257" customWidth="1" width="9.140625"/>
    <col min="8258" max="8258" customWidth="1" width="9.140625"/>
    <col min="8259" max="8259" customWidth="1" width="9.140625"/>
    <col min="8260" max="8260" customWidth="1" width="9.140625"/>
    <col min="8261" max="8261" customWidth="1" width="9.140625"/>
    <col min="8262" max="8262" customWidth="1" width="9.140625"/>
    <col min="8263" max="8263" customWidth="1" width="9.140625"/>
    <col min="8264" max="8264" customWidth="1" width="9.140625"/>
    <col min="8265" max="8265" customWidth="1" width="9.140625"/>
    <col min="8266" max="8266" customWidth="1" width="9.140625"/>
    <col min="8267" max="8267" customWidth="1" width="9.140625"/>
    <col min="8268" max="8268" customWidth="1" width="9.140625"/>
    <col min="8269" max="8269" customWidth="1" width="9.140625"/>
    <col min="8270" max="8270" customWidth="1" width="9.140625"/>
    <col min="8271" max="8271" customWidth="1" width="9.140625"/>
    <col min="8272" max="8272" customWidth="1" width="9.140625"/>
    <col min="8273" max="8273" customWidth="1" width="9.140625"/>
    <col min="8274" max="8274" customWidth="1" width="9.140625"/>
    <col min="8275" max="8275" customWidth="1" width="9.140625"/>
    <col min="8276" max="8276" customWidth="1" width="9.140625"/>
    <col min="8277" max="8277" customWidth="1" width="9.140625"/>
    <col min="8278" max="8278" customWidth="1" width="9.140625"/>
    <col min="8279" max="8279" customWidth="1" width="9.140625"/>
    <col min="8280" max="8280" customWidth="1" width="9.140625"/>
    <col min="8281" max="8281" customWidth="1" width="9.140625"/>
    <col min="8282" max="8282" customWidth="1" width="9.140625"/>
    <col min="8283" max="8283" customWidth="1" width="9.140625"/>
    <col min="8284" max="8284" customWidth="1" width="9.140625"/>
    <col min="8285" max="8285" customWidth="1" width="9.140625"/>
    <col min="8286" max="8286" customWidth="1" width="9.140625"/>
    <col min="8287" max="8287" customWidth="1" width="9.140625"/>
    <col min="8288" max="8288" customWidth="1" width="9.140625"/>
    <col min="8289" max="8289" customWidth="1" width="9.140625"/>
    <col min="8290" max="8290" customWidth="1" width="9.140625"/>
    <col min="8291" max="8291" customWidth="1" width="9.140625"/>
    <col min="8292" max="8292" customWidth="1" width="9.140625"/>
    <col min="8293" max="8293" customWidth="1" width="9.140625"/>
    <col min="8294" max="8294" customWidth="1" width="9.140625"/>
    <col min="8295" max="8295" customWidth="1" width="9.140625"/>
    <col min="8296" max="8296" customWidth="1" width="9.140625"/>
    <col min="8297" max="8297" customWidth="1" width="9.140625"/>
    <col min="8298" max="8298" customWidth="1" width="9.140625"/>
    <col min="8299" max="8299" customWidth="1" width="9.140625"/>
    <col min="8300" max="8300" customWidth="1" width="9.140625"/>
    <col min="8301" max="8301" customWidth="1" width="9.140625"/>
    <col min="8302" max="8302" customWidth="1" width="9.140625"/>
    <col min="8303" max="8303" customWidth="1" width="9.140625"/>
    <col min="8304" max="8304" customWidth="1" width="9.140625"/>
    <col min="8305" max="8305" customWidth="1" width="9.140625"/>
    <col min="8306" max="8306" customWidth="1" width="9.140625"/>
    <col min="8307" max="8307" customWidth="1" width="9.140625"/>
    <col min="8308" max="8308" customWidth="1" width="9.140625"/>
    <col min="8309" max="8309" customWidth="1" width="9.140625"/>
    <col min="8310" max="8310" customWidth="1" width="9.140625"/>
    <col min="8311" max="8311" customWidth="1" width="9.140625"/>
    <col min="8312" max="8312" customWidth="1" width="9.140625"/>
    <col min="8313" max="8313" customWidth="1" width="9.140625"/>
    <col min="8314" max="8314" customWidth="1" width="9.140625"/>
    <col min="8315" max="8315" customWidth="1" width="9.140625"/>
    <col min="8316" max="8316" customWidth="1" width="9.140625"/>
    <col min="8317" max="8317" customWidth="1" width="9.140625"/>
    <col min="8318" max="8318" customWidth="1" width="9.140625"/>
    <col min="8319" max="8319" customWidth="1" width="9.140625"/>
    <col min="8320" max="8320" customWidth="1" width="9.140625"/>
    <col min="8321" max="8321" customWidth="1" width="9.140625"/>
    <col min="8322" max="8322" customWidth="1" width="9.140625"/>
    <col min="8323" max="8323" customWidth="1" width="9.140625"/>
    <col min="8324" max="8324" customWidth="1" width="9.140625"/>
    <col min="8325" max="8325" customWidth="1" width="9.140625"/>
    <col min="8326" max="8326" customWidth="1" width="9.140625"/>
    <col min="8327" max="8327" customWidth="1" width="9.140625"/>
    <col min="8328" max="8328" customWidth="1" width="9.140625"/>
    <col min="8329" max="8329" customWidth="1" width="9.140625"/>
    <col min="8330" max="8330" customWidth="1" width="9.140625"/>
    <col min="8331" max="8331" customWidth="1" width="9.140625"/>
    <col min="8332" max="8332" customWidth="1" width="9.140625"/>
    <col min="8333" max="8333" customWidth="1" width="9.140625"/>
    <col min="8334" max="8334" customWidth="1" width="9.140625"/>
    <col min="8335" max="8335" customWidth="1" width="9.140625"/>
    <col min="8336" max="8336" customWidth="1" width="9.140625"/>
    <col min="8337" max="8337" customWidth="1" width="9.140625"/>
    <col min="8338" max="8338" customWidth="1" width="9.140625"/>
    <col min="8339" max="8339" customWidth="1" width="9.140625"/>
    <col min="8340" max="8340" customWidth="1" width="9.140625"/>
    <col min="8341" max="8341" customWidth="1" width="9.140625"/>
    <col min="8342" max="8342" customWidth="1" width="9.140625"/>
    <col min="8343" max="8343" customWidth="1" width="9.140625"/>
    <col min="8344" max="8344" customWidth="1" width="9.140625"/>
    <col min="8345" max="8345" customWidth="1" width="9.140625"/>
    <col min="8346" max="8346" customWidth="1" width="9.140625"/>
    <col min="8347" max="8347" customWidth="1" width="9.140625"/>
    <col min="8348" max="8348" customWidth="1" width="9.140625"/>
    <col min="8349" max="8349" customWidth="1" width="9.140625"/>
    <col min="8350" max="8350" customWidth="1" width="9.140625"/>
    <col min="8351" max="8351" customWidth="1" width="9.140625"/>
    <col min="8352" max="8352" customWidth="1" width="9.140625"/>
    <col min="8353" max="8353" customWidth="1" width="9.140625"/>
    <col min="8354" max="8354" customWidth="1" width="9.140625"/>
    <col min="8355" max="8355" customWidth="1" width="9.140625"/>
    <col min="8356" max="8356" customWidth="1" width="9.140625"/>
    <col min="8357" max="8357" customWidth="1" width="9.140625"/>
    <col min="8358" max="8358" customWidth="1" width="9.140625"/>
    <col min="8359" max="8359" customWidth="1" width="9.140625"/>
    <col min="8360" max="8360" customWidth="1" width="9.140625"/>
    <col min="8361" max="8361" customWidth="1" width="9.140625"/>
    <col min="8362" max="8362" customWidth="1" width="9.140625"/>
    <col min="8363" max="8363" customWidth="1" width="9.140625"/>
    <col min="8364" max="8364" customWidth="1" width="9.140625"/>
    <col min="8365" max="8365" customWidth="1" width="9.140625"/>
    <col min="8366" max="8366" customWidth="1" width="9.140625"/>
    <col min="8367" max="8367" customWidth="1" width="9.140625"/>
    <col min="8368" max="8368" customWidth="1" width="9.140625"/>
    <col min="8369" max="8369" customWidth="1" width="9.140625"/>
    <col min="8370" max="8370" customWidth="1" width="9.140625"/>
    <col min="8371" max="8371" customWidth="1" width="9.140625"/>
    <col min="8372" max="8372" customWidth="1" width="9.140625"/>
    <col min="8373" max="8373" customWidth="1" width="9.140625"/>
    <col min="8374" max="8374" customWidth="1" width="9.140625"/>
    <col min="8375" max="8375" customWidth="1" width="9.140625"/>
    <col min="8376" max="8376" customWidth="1" width="9.140625"/>
    <col min="8377" max="8377" customWidth="1" width="9.140625"/>
    <col min="8378" max="8378" customWidth="1" width="9.140625"/>
    <col min="8379" max="8379" customWidth="1" width="9.140625"/>
    <col min="8380" max="8380" customWidth="1" width="9.140625"/>
    <col min="8381" max="8381" customWidth="1" width="9.140625"/>
    <col min="8382" max="8382" customWidth="1" width="9.140625"/>
    <col min="8383" max="8383" customWidth="1" width="9.140625"/>
    <col min="8384" max="8384" customWidth="1" width="9.140625"/>
    <col min="8385" max="8385" customWidth="1" width="9.140625"/>
    <col min="8386" max="8386" customWidth="1" width="9.140625"/>
    <col min="8387" max="8387" customWidth="1" width="9.140625"/>
    <col min="8388" max="8388" customWidth="1" width="9.140625"/>
    <col min="8389" max="8389" customWidth="1" width="9.140625"/>
    <col min="8390" max="8390" customWidth="1" width="9.140625"/>
    <col min="8391" max="8391" customWidth="1" width="9.140625"/>
    <col min="8392" max="8392" customWidth="1" width="9.140625"/>
    <col min="8393" max="8393" customWidth="1" width="9.140625"/>
    <col min="8394" max="8394" customWidth="1" width="9.140625"/>
    <col min="8395" max="8395" customWidth="1" width="9.140625"/>
    <col min="8396" max="8396" customWidth="1" width="9.140625"/>
    <col min="8397" max="8397" customWidth="1" width="9.140625"/>
    <col min="8398" max="8398" customWidth="1" width="9.140625"/>
    <col min="8399" max="8399" customWidth="1" width="9.140625"/>
    <col min="8400" max="8400" customWidth="1" width="9.140625"/>
    <col min="8401" max="8401" customWidth="1" width="9.140625"/>
    <col min="8402" max="8402" customWidth="1" width="9.140625"/>
    <col min="8403" max="8403" customWidth="1" width="9.140625"/>
    <col min="8404" max="8404" customWidth="1" width="9.140625"/>
    <col min="8405" max="8405" customWidth="1" width="9.140625"/>
    <col min="8406" max="8406" customWidth="1" width="9.140625"/>
    <col min="8407" max="8407" customWidth="1" width="9.140625"/>
    <col min="8408" max="8408" customWidth="1" width="9.140625"/>
    <col min="8409" max="8409" customWidth="1" width="9.140625"/>
    <col min="8410" max="8410" customWidth="1" width="9.140625"/>
    <col min="8411" max="8411" customWidth="1" width="9.140625"/>
    <col min="8412" max="8412" customWidth="1" width="9.140625"/>
    <col min="8413" max="8413" customWidth="1" width="9.140625"/>
    <col min="8414" max="8414" customWidth="1" width="9.140625"/>
    <col min="8415" max="8415" customWidth="1" width="9.140625"/>
    <col min="8416" max="8416" customWidth="1" width="9.140625"/>
    <col min="8417" max="8417" customWidth="1" width="9.140625"/>
    <col min="8418" max="8418" customWidth="1" width="9.140625"/>
    <col min="8419" max="8419" customWidth="1" width="9.140625"/>
    <col min="8420" max="8420" customWidth="1" width="9.140625"/>
    <col min="8421" max="8421" customWidth="1" width="9.140625"/>
    <col min="8422" max="8422" customWidth="1" width="9.140625"/>
    <col min="8423" max="8423" customWidth="1" width="9.140625"/>
    <col min="8424" max="8424" customWidth="1" width="9.140625"/>
    <col min="8425" max="8425" customWidth="1" width="9.140625"/>
    <col min="8426" max="8426" customWidth="1" width="9.140625"/>
    <col min="8427" max="8427" customWidth="1" width="9.140625"/>
    <col min="8428" max="8428" customWidth="1" width="9.140625"/>
    <col min="8429" max="8429" customWidth="1" width="9.140625"/>
    <col min="8430" max="8430" customWidth="1" width="9.140625"/>
    <col min="8431" max="8431" customWidth="1" width="9.140625"/>
    <col min="8432" max="8432" customWidth="1" width="9.140625"/>
    <col min="8433" max="8433" customWidth="1" width="9.140625"/>
    <col min="8434" max="8434" customWidth="1" width="9.140625"/>
    <col min="8435" max="8435" customWidth="1" width="9.140625"/>
    <col min="8436" max="8436" customWidth="1" width="9.140625"/>
    <col min="8437" max="8437" customWidth="1" width="9.140625"/>
    <col min="8438" max="8438" customWidth="1" width="9.140625"/>
    <col min="8439" max="8439" customWidth="1" width="9.140625"/>
    <col min="8440" max="8440" customWidth="1" width="9.140625"/>
    <col min="8441" max="8441" customWidth="1" width="9.140625"/>
    <col min="8442" max="8442" customWidth="1" width="9.140625"/>
    <col min="8443" max="8443" customWidth="1" width="9.140625"/>
    <col min="8444" max="8444" customWidth="1" width="9.140625"/>
    <col min="8445" max="8445" customWidth="1" width="9.140625"/>
    <col min="8446" max="8446" customWidth="1" width="9.140625"/>
    <col min="8447" max="8447" customWidth="1" width="9.140625"/>
    <col min="8448" max="8448" customWidth="1" width="9.140625"/>
    <col min="8449" max="8449" customWidth="1" width="9.140625"/>
    <col min="8450" max="8450" customWidth="1" width="9.140625"/>
    <col min="8451" max="8451" customWidth="1" width="9.140625"/>
    <col min="8452" max="8452" customWidth="1" width="9.140625"/>
    <col min="8453" max="8453" customWidth="1" width="9.140625"/>
    <col min="8454" max="8454" customWidth="1" width="9.140625"/>
    <col min="8455" max="8455" customWidth="1" width="9.140625"/>
    <col min="8456" max="8456" customWidth="1" width="9.140625"/>
    <col min="8457" max="8457" customWidth="1" width="9.140625"/>
    <col min="8458" max="8458" customWidth="1" width="9.140625"/>
    <col min="8459" max="8459" customWidth="1" width="9.140625"/>
    <col min="8460" max="8460" customWidth="1" width="9.140625"/>
    <col min="8461" max="8461" customWidth="1" width="9.140625"/>
    <col min="8462" max="8462" customWidth="1" width="9.140625"/>
    <col min="8463" max="8463" customWidth="1" width="9.140625"/>
    <col min="8464" max="8464" customWidth="1" width="9.140625"/>
    <col min="8465" max="8465" customWidth="1" width="9.140625"/>
    <col min="8466" max="8466" customWidth="1" width="9.140625"/>
    <col min="8467" max="8467" customWidth="1" width="9.140625"/>
    <col min="8468" max="8468" customWidth="1" width="9.140625"/>
    <col min="8469" max="8469" customWidth="1" width="9.140625"/>
    <col min="8470" max="8470" customWidth="1" width="9.140625"/>
    <col min="8471" max="8471" customWidth="1" width="9.140625"/>
    <col min="8472" max="8472" customWidth="1" width="9.140625"/>
    <col min="8473" max="8473" customWidth="1" width="9.140625"/>
    <col min="8474" max="8474" customWidth="1" width="9.140625"/>
    <col min="8475" max="8475" customWidth="1" width="9.140625"/>
    <col min="8476" max="8476" customWidth="1" width="9.140625"/>
    <col min="8477" max="8477" customWidth="1" width="9.140625"/>
    <col min="8478" max="8478" customWidth="1" width="9.140625"/>
    <col min="8479" max="8479" customWidth="1" width="9.140625"/>
    <col min="8480" max="8480" customWidth="1" width="9.140625"/>
    <col min="8481" max="8481" customWidth="1" width="9.140625"/>
    <col min="8482" max="8482" customWidth="1" width="9.140625"/>
    <col min="8483" max="8483" customWidth="1" width="9.140625"/>
    <col min="8484" max="8484" customWidth="1" width="9.140625"/>
    <col min="8485" max="8485" customWidth="1" width="9.140625"/>
    <col min="8486" max="8486" customWidth="1" width="9.140625"/>
    <col min="8487" max="8487" customWidth="1" width="9.140625"/>
    <col min="8488" max="8488" customWidth="1" width="9.140625"/>
    <col min="8489" max="8489" customWidth="1" width="9.140625"/>
    <col min="8490" max="8490" customWidth="1" width="9.140625"/>
    <col min="8491" max="8491" customWidth="1" width="9.140625"/>
    <col min="8492" max="8492" customWidth="1" width="9.140625"/>
    <col min="8493" max="8493" customWidth="1" width="9.140625"/>
    <col min="8494" max="8494" customWidth="1" width="9.140625"/>
    <col min="8495" max="8495" customWidth="1" width="9.140625"/>
    <col min="8496" max="8496" customWidth="1" width="9.140625"/>
    <col min="8497" max="8497" customWidth="1" width="9.140625"/>
    <col min="8498" max="8498" customWidth="1" width="9.140625"/>
    <col min="8499" max="8499" customWidth="1" width="9.140625"/>
    <col min="8500" max="8500" customWidth="1" width="9.140625"/>
    <col min="8501" max="8501" customWidth="1" width="9.140625"/>
    <col min="8502" max="8502" customWidth="1" width="9.140625"/>
    <col min="8503" max="8503" customWidth="1" width="9.140625"/>
    <col min="8504" max="8504" customWidth="1" width="9.140625"/>
    <col min="8505" max="8505" customWidth="1" width="9.140625"/>
    <col min="8506" max="8506" customWidth="1" width="9.140625"/>
    <col min="8507" max="8507" customWidth="1" width="9.140625"/>
    <col min="8508" max="8508" customWidth="1" width="9.140625"/>
    <col min="8509" max="8509" customWidth="1" width="9.140625"/>
    <col min="8510" max="8510" customWidth="1" width="9.140625"/>
    <col min="8511" max="8511" customWidth="1" width="9.140625"/>
    <col min="8512" max="8512" customWidth="1" width="9.140625"/>
    <col min="8513" max="8513" customWidth="1" width="9.140625"/>
    <col min="8514" max="8514" customWidth="1" width="9.140625"/>
    <col min="8515" max="8515" customWidth="1" width="9.140625"/>
    <col min="8516" max="8516" customWidth="1" width="9.140625"/>
    <col min="8517" max="8517" customWidth="1" width="9.140625"/>
    <col min="8518" max="8518" customWidth="1" width="9.140625"/>
    <col min="8519" max="8519" customWidth="1" width="9.140625"/>
    <col min="8520" max="8520" customWidth="1" width="9.140625"/>
    <col min="8521" max="8521" customWidth="1" width="9.140625"/>
    <col min="8522" max="8522" customWidth="1" width="9.140625"/>
    <col min="8523" max="8523" customWidth="1" width="9.140625"/>
    <col min="8524" max="8524" customWidth="1" width="9.140625"/>
    <col min="8525" max="8525" customWidth="1" width="9.140625"/>
    <col min="8526" max="8526" customWidth="1" width="9.140625"/>
    <col min="8527" max="8527" customWidth="1" width="9.140625"/>
    <col min="8528" max="8528" customWidth="1" width="9.140625"/>
    <col min="8529" max="8529" customWidth="1" width="9.140625"/>
    <col min="8530" max="8530" customWidth="1" width="9.140625"/>
    <col min="8531" max="8531" customWidth="1" width="9.140625"/>
    <col min="8532" max="8532" customWidth="1" width="9.140625"/>
    <col min="8533" max="8533" customWidth="1" width="9.140625"/>
    <col min="8534" max="8534" customWidth="1" width="9.140625"/>
    <col min="8535" max="8535" customWidth="1" width="9.140625"/>
    <col min="8536" max="8536" customWidth="1" width="9.140625"/>
    <col min="8537" max="8537" customWidth="1" width="9.140625"/>
    <col min="8538" max="8538" customWidth="1" width="9.140625"/>
    <col min="8539" max="8539" customWidth="1" width="9.140625"/>
    <col min="8540" max="8540" customWidth="1" width="9.140625"/>
    <col min="8541" max="8541" customWidth="1" width="9.140625"/>
    <col min="8542" max="8542" customWidth="1" width="9.140625"/>
    <col min="8543" max="8543" customWidth="1" width="9.140625"/>
    <col min="8544" max="8544" customWidth="1" width="9.140625"/>
    <col min="8545" max="8545" customWidth="1" width="9.140625"/>
    <col min="8546" max="8546" customWidth="1" width="9.140625"/>
    <col min="8547" max="8547" customWidth="1" width="9.140625"/>
    <col min="8548" max="8548" customWidth="1" width="9.140625"/>
    <col min="8549" max="8549" customWidth="1" width="9.140625"/>
    <col min="8550" max="8550" customWidth="1" width="9.140625"/>
    <col min="8551" max="8551" customWidth="1" width="9.140625"/>
    <col min="8552" max="8552" customWidth="1" width="9.140625"/>
    <col min="8553" max="8553" customWidth="1" width="9.140625"/>
    <col min="8554" max="8554" customWidth="1" width="9.140625"/>
    <col min="8555" max="8555" customWidth="1" width="9.140625"/>
    <col min="8556" max="8556" customWidth="1" width="9.140625"/>
    <col min="8557" max="8557" customWidth="1" width="9.140625"/>
    <col min="8558" max="8558" customWidth="1" width="9.140625"/>
    <col min="8559" max="8559" customWidth="1" width="9.140625"/>
    <col min="8560" max="8560" customWidth="1" width="9.140625"/>
    <col min="8561" max="8561" customWidth="1" width="9.140625"/>
    <col min="8562" max="8562" customWidth="1" width="9.140625"/>
    <col min="8563" max="8563" customWidth="1" width="9.140625"/>
    <col min="8564" max="8564" customWidth="1" width="9.140625"/>
    <col min="8565" max="8565" customWidth="1" width="9.140625"/>
    <col min="8566" max="8566" customWidth="1" width="9.140625"/>
    <col min="8567" max="8567" customWidth="1" width="9.140625"/>
    <col min="8568" max="8568" customWidth="1" width="9.140625"/>
    <col min="8569" max="8569" customWidth="1" width="9.140625"/>
    <col min="8570" max="8570" customWidth="1" width="9.140625"/>
    <col min="8571" max="8571" customWidth="1" width="9.140625"/>
    <col min="8572" max="8572" customWidth="1" width="9.140625"/>
    <col min="8573" max="8573" customWidth="1" width="9.140625"/>
    <col min="8574" max="8574" customWidth="1" width="9.140625"/>
    <col min="8575" max="8575" customWidth="1" width="9.140625"/>
    <col min="8576" max="8576" customWidth="1" width="9.140625"/>
    <col min="8577" max="8577" customWidth="1" width="9.140625"/>
    <col min="8578" max="8578" customWidth="1" width="9.140625"/>
    <col min="8579" max="8579" customWidth="1" width="9.140625"/>
    <col min="8580" max="8580" customWidth="1" width="9.140625"/>
    <col min="8581" max="8581" customWidth="1" width="9.140625"/>
    <col min="8582" max="8582" customWidth="1" width="9.140625"/>
    <col min="8583" max="8583" customWidth="1" width="9.140625"/>
    <col min="8584" max="8584" customWidth="1" width="9.140625"/>
    <col min="8585" max="8585" customWidth="1" width="9.140625"/>
    <col min="8586" max="8586" customWidth="1" width="9.140625"/>
    <col min="8587" max="8587" customWidth="1" width="9.140625"/>
    <col min="8588" max="8588" customWidth="1" width="9.140625"/>
    <col min="8589" max="8589" customWidth="1" width="9.140625"/>
    <col min="8590" max="8590" customWidth="1" width="9.140625"/>
    <col min="8591" max="8591" customWidth="1" width="9.140625"/>
    <col min="8592" max="8592" customWidth="1" width="9.140625"/>
    <col min="8593" max="8593" customWidth="1" width="9.140625"/>
    <col min="8594" max="8594" customWidth="1" width="9.140625"/>
    <col min="8595" max="8595" customWidth="1" width="9.140625"/>
    <col min="8596" max="8596" customWidth="1" width="9.140625"/>
    <col min="8597" max="8597" customWidth="1" width="9.140625"/>
    <col min="8598" max="8598" customWidth="1" width="9.140625"/>
    <col min="8599" max="8599" customWidth="1" width="9.140625"/>
    <col min="8600" max="8600" customWidth="1" width="9.140625"/>
    <col min="8601" max="8601" customWidth="1" width="9.140625"/>
    <col min="8602" max="8602" customWidth="1" width="9.140625"/>
    <col min="8603" max="8603" customWidth="1" width="9.140625"/>
    <col min="8604" max="8604" customWidth="1" width="9.140625"/>
    <col min="8605" max="8605" customWidth="1" width="9.140625"/>
    <col min="8606" max="8606" customWidth="1" width="9.140625"/>
    <col min="8607" max="8607" customWidth="1" width="9.140625"/>
    <col min="8608" max="8608" customWidth="1" width="9.140625"/>
    <col min="8609" max="8609" customWidth="1" width="9.140625"/>
    <col min="8610" max="8610" customWidth="1" width="9.140625"/>
    <col min="8611" max="8611" customWidth="1" width="9.140625"/>
    <col min="8612" max="8612" customWidth="1" width="9.140625"/>
    <col min="8613" max="8613" customWidth="1" width="9.140625"/>
    <col min="8614" max="8614" customWidth="1" width="9.140625"/>
    <col min="8615" max="8615" customWidth="1" width="9.140625"/>
    <col min="8616" max="8616" customWidth="1" width="9.140625"/>
    <col min="8617" max="8617" customWidth="1" width="9.140625"/>
    <col min="8618" max="8618" customWidth="1" width="9.140625"/>
    <col min="8619" max="8619" customWidth="1" width="9.140625"/>
    <col min="8620" max="8620" customWidth="1" width="9.140625"/>
    <col min="8621" max="8621" customWidth="1" width="9.140625"/>
    <col min="8622" max="8622" customWidth="1" width="9.140625"/>
    <col min="8623" max="8623" customWidth="1" width="9.140625"/>
    <col min="8624" max="8624" customWidth="1" width="9.140625"/>
    <col min="8625" max="8625" customWidth="1" width="9.140625"/>
    <col min="8626" max="8626" customWidth="1" width="9.140625"/>
    <col min="8627" max="8627" customWidth="1" width="9.140625"/>
    <col min="8628" max="8628" customWidth="1" width="9.140625"/>
    <col min="8629" max="8629" customWidth="1" width="9.140625"/>
    <col min="8630" max="8630" customWidth="1" width="9.140625"/>
    <col min="8631" max="8631" customWidth="1" width="9.140625"/>
    <col min="8632" max="8632" customWidth="1" width="9.140625"/>
    <col min="8633" max="8633" customWidth="1" width="9.140625"/>
    <col min="8634" max="8634" customWidth="1" width="9.140625"/>
    <col min="8635" max="8635" customWidth="1" width="9.140625"/>
    <col min="8636" max="8636" customWidth="1" width="9.140625"/>
    <col min="8637" max="8637" customWidth="1" width="9.140625"/>
    <col min="8638" max="8638" customWidth="1" width="9.140625"/>
    <col min="8639" max="8639" customWidth="1" width="9.140625"/>
    <col min="8640" max="8640" customWidth="1" width="9.140625"/>
    <col min="8641" max="8641" customWidth="1" width="9.140625"/>
    <col min="8642" max="8642" customWidth="1" width="9.140625"/>
    <col min="8643" max="8643" customWidth="1" width="9.140625"/>
    <col min="8644" max="8644" customWidth="1" width="9.140625"/>
    <col min="8645" max="8645" customWidth="1" width="9.140625"/>
    <col min="8646" max="8646" customWidth="1" width="9.140625"/>
    <col min="8647" max="8647" customWidth="1" width="9.140625"/>
    <col min="8648" max="8648" customWidth="1" width="9.140625"/>
    <col min="8649" max="8649" customWidth="1" width="9.140625"/>
    <col min="8650" max="8650" customWidth="1" width="9.140625"/>
    <col min="8651" max="8651" customWidth="1" width="9.140625"/>
    <col min="8652" max="8652" customWidth="1" width="9.140625"/>
    <col min="8653" max="8653" customWidth="1" width="9.140625"/>
    <col min="8654" max="8654" customWidth="1" width="9.140625"/>
    <col min="8655" max="8655" customWidth="1" width="9.140625"/>
    <col min="8656" max="8656" customWidth="1" width="9.140625"/>
    <col min="8657" max="8657" customWidth="1" width="9.140625"/>
    <col min="8658" max="8658" customWidth="1" width="9.140625"/>
    <col min="8659" max="8659" customWidth="1" width="9.140625"/>
    <col min="8660" max="8660" customWidth="1" width="9.140625"/>
    <col min="8661" max="8661" customWidth="1" width="9.140625"/>
    <col min="8662" max="8662" customWidth="1" width="9.140625"/>
    <col min="8663" max="8663" customWidth="1" width="9.140625"/>
    <col min="8664" max="8664" customWidth="1" width="9.140625"/>
    <col min="8665" max="8665" customWidth="1" width="9.140625"/>
    <col min="8666" max="8666" customWidth="1" width="9.140625"/>
    <col min="8667" max="8667" customWidth="1" width="9.140625"/>
    <col min="8668" max="8668" customWidth="1" width="9.140625"/>
    <col min="8669" max="8669" customWidth="1" width="9.140625"/>
    <col min="8670" max="8670" customWidth="1" width="9.140625"/>
    <col min="8671" max="8671" customWidth="1" width="9.140625"/>
    <col min="8672" max="8672" customWidth="1" width="9.140625"/>
    <col min="8673" max="8673" customWidth="1" width="9.140625"/>
    <col min="8674" max="8674" customWidth="1" width="9.140625"/>
    <col min="8675" max="8675" customWidth="1" width="9.140625"/>
    <col min="8676" max="8676" customWidth="1" width="9.140625"/>
    <col min="8677" max="8677" customWidth="1" width="9.140625"/>
    <col min="8678" max="8678" customWidth="1" width="9.140625"/>
    <col min="8679" max="8679" customWidth="1" width="9.140625"/>
    <col min="8680" max="8680" customWidth="1" width="9.140625"/>
    <col min="8681" max="8681" customWidth="1" width="9.140625"/>
    <col min="8682" max="8682" customWidth="1" width="9.140625"/>
    <col min="8683" max="8683" customWidth="1" width="9.140625"/>
    <col min="8684" max="8684" customWidth="1" width="9.140625"/>
    <col min="8685" max="8685" customWidth="1" width="9.140625"/>
    <col min="8686" max="8686" customWidth="1" width="9.140625"/>
    <col min="8687" max="8687" customWidth="1" width="9.140625"/>
    <col min="8688" max="8688" customWidth="1" width="9.140625"/>
    <col min="8689" max="8689" customWidth="1" width="9.140625"/>
    <col min="8690" max="8690" customWidth="1" width="9.140625"/>
    <col min="8691" max="8691" customWidth="1" width="9.140625"/>
    <col min="8692" max="8692" customWidth="1" width="9.140625"/>
    <col min="8693" max="8693" customWidth="1" width="9.140625"/>
    <col min="8694" max="8694" customWidth="1" width="9.140625"/>
    <col min="8695" max="8695" customWidth="1" width="9.140625"/>
    <col min="8696" max="8696" customWidth="1" width="9.140625"/>
    <col min="8697" max="8697" customWidth="1" width="9.140625"/>
    <col min="8698" max="8698" customWidth="1" width="9.140625"/>
    <col min="8699" max="8699" customWidth="1" width="9.140625"/>
    <col min="8700" max="8700" customWidth="1" width="9.140625"/>
    <col min="8701" max="8701" customWidth="1" width="9.140625"/>
    <col min="8702" max="8702" customWidth="1" width="9.140625"/>
    <col min="8703" max="8703" customWidth="1" width="9.140625"/>
    <col min="8704" max="8704" customWidth="1" width="9.140625"/>
    <col min="8705" max="8705" customWidth="1" width="9.140625"/>
    <col min="8706" max="8706" customWidth="1" width="9.140625"/>
    <col min="8707" max="8707" customWidth="1" width="9.140625"/>
    <col min="8708" max="8708" customWidth="1" width="9.140625"/>
    <col min="8709" max="8709" customWidth="1" width="9.140625"/>
    <col min="8710" max="8710" customWidth="1" width="9.140625"/>
    <col min="8711" max="8711" customWidth="1" width="9.140625"/>
    <col min="8712" max="8712" customWidth="1" width="9.140625"/>
    <col min="8713" max="8713" customWidth="1" width="9.140625"/>
    <col min="8714" max="8714" customWidth="1" width="9.140625"/>
    <col min="8715" max="8715" customWidth="1" width="9.140625"/>
    <col min="8716" max="8716" customWidth="1" width="9.140625"/>
    <col min="8717" max="8717" customWidth="1" width="9.140625"/>
    <col min="8718" max="8718" customWidth="1" width="9.140625"/>
    <col min="8719" max="8719" customWidth="1" width="9.140625"/>
    <col min="8720" max="8720" customWidth="1" width="9.140625"/>
    <col min="8721" max="8721" customWidth="1" width="9.140625"/>
    <col min="8722" max="8722" customWidth="1" width="9.140625"/>
    <col min="8723" max="8723" customWidth="1" width="9.140625"/>
    <col min="8724" max="8724" customWidth="1" width="9.140625"/>
    <col min="8725" max="8725" customWidth="1" width="9.140625"/>
    <col min="8726" max="8726" customWidth="1" width="9.140625"/>
    <col min="8727" max="8727" customWidth="1" width="9.140625"/>
    <col min="8728" max="8728" customWidth="1" width="9.140625"/>
    <col min="8729" max="8729" customWidth="1" width="9.140625"/>
    <col min="8730" max="8730" customWidth="1" width="9.140625"/>
    <col min="8731" max="8731" customWidth="1" width="9.140625"/>
    <col min="8732" max="8732" customWidth="1" width="9.140625"/>
    <col min="8733" max="8733" customWidth="1" width="9.140625"/>
    <col min="8734" max="8734" customWidth="1" width="9.140625"/>
    <col min="8735" max="8735" customWidth="1" width="9.140625"/>
    <col min="8736" max="8736" customWidth="1" width="9.140625"/>
    <col min="8737" max="8737" customWidth="1" width="9.140625"/>
    <col min="8738" max="8738" customWidth="1" width="9.140625"/>
    <col min="8739" max="8739" customWidth="1" width="9.140625"/>
    <col min="8740" max="8740" customWidth="1" width="9.140625"/>
    <col min="8741" max="8741" customWidth="1" width="9.140625"/>
    <col min="8742" max="8742" customWidth="1" width="9.140625"/>
    <col min="8743" max="8743" customWidth="1" width="9.140625"/>
    <col min="8744" max="8744" customWidth="1" width="9.140625"/>
    <col min="8745" max="8745" customWidth="1" width="9.140625"/>
    <col min="8746" max="8746" customWidth="1" width="9.140625"/>
    <col min="8747" max="8747" customWidth="1" width="9.140625"/>
    <col min="8748" max="8748" customWidth="1" width="9.140625"/>
    <col min="8749" max="8749" customWidth="1" width="9.140625"/>
    <col min="8750" max="8750" customWidth="1" width="9.140625"/>
    <col min="8751" max="8751" customWidth="1" width="9.140625"/>
    <col min="8752" max="8752" customWidth="1" width="9.140625"/>
    <col min="8753" max="8753" customWidth="1" width="9.140625"/>
    <col min="8754" max="8754" customWidth="1" width="9.140625"/>
    <col min="8755" max="8755" customWidth="1" width="9.140625"/>
    <col min="8756" max="8756" customWidth="1" width="9.140625"/>
    <col min="8757" max="8757" customWidth="1" width="9.140625"/>
    <col min="8758" max="8758" customWidth="1" width="9.140625"/>
    <col min="8759" max="8759" customWidth="1" width="9.140625"/>
    <col min="8760" max="8760" customWidth="1" width="9.140625"/>
    <col min="8761" max="8761" customWidth="1" width="9.140625"/>
    <col min="8762" max="8762" customWidth="1" width="9.140625"/>
    <col min="8763" max="8763" customWidth="1" width="9.140625"/>
    <col min="8764" max="8764" customWidth="1" width="9.140625"/>
    <col min="8765" max="8765" customWidth="1" width="9.140625"/>
    <col min="8766" max="8766" customWidth="1" width="9.140625"/>
    <col min="8767" max="8767" customWidth="1" width="9.140625"/>
    <col min="8768" max="8768" customWidth="1" width="9.140625"/>
    <col min="8769" max="8769" customWidth="1" width="9.140625"/>
    <col min="8770" max="8770" customWidth="1" width="9.140625"/>
    <col min="8771" max="8771" customWidth="1" width="9.140625"/>
    <col min="8772" max="8772" customWidth="1" width="9.140625"/>
    <col min="8773" max="8773" customWidth="1" width="9.140625"/>
    <col min="8774" max="8774" customWidth="1" width="9.140625"/>
    <col min="8775" max="8775" customWidth="1" width="9.140625"/>
    <col min="8776" max="8776" customWidth="1" width="9.140625"/>
    <col min="8777" max="8777" customWidth="1" width="9.140625"/>
    <col min="8778" max="8778" customWidth="1" width="9.140625"/>
    <col min="8779" max="8779" customWidth="1" width="9.140625"/>
    <col min="8780" max="8780" customWidth="1" width="9.140625"/>
    <col min="8781" max="8781" customWidth="1" width="9.140625"/>
    <col min="8782" max="8782" customWidth="1" width="9.140625"/>
    <col min="8783" max="8783" customWidth="1" width="9.140625"/>
    <col min="8784" max="8784" customWidth="1" width="9.140625"/>
    <col min="8785" max="8785" customWidth="1" width="9.140625"/>
    <col min="8786" max="8786" customWidth="1" width="9.140625"/>
    <col min="8787" max="8787" customWidth="1" width="9.140625"/>
    <col min="8788" max="8788" customWidth="1" width="9.140625"/>
    <col min="8789" max="8789" customWidth="1" width="9.140625"/>
    <col min="8790" max="8790" customWidth="1" width="9.140625"/>
    <col min="8791" max="8791" customWidth="1" width="9.140625"/>
    <col min="8792" max="8792" customWidth="1" width="9.140625"/>
    <col min="8793" max="8793" customWidth="1" width="9.140625"/>
    <col min="8794" max="8794" customWidth="1" width="9.140625"/>
    <col min="8795" max="8795" customWidth="1" width="9.140625"/>
    <col min="8796" max="8796" customWidth="1" width="9.140625"/>
    <col min="8797" max="8797" customWidth="1" width="9.140625"/>
    <col min="8798" max="8798" customWidth="1" width="9.140625"/>
    <col min="8799" max="8799" customWidth="1" width="9.140625"/>
    <col min="8800" max="8800" customWidth="1" width="9.140625"/>
    <col min="8801" max="8801" customWidth="1" width="9.140625"/>
    <col min="8802" max="8802" customWidth="1" width="9.140625"/>
    <col min="8803" max="8803" customWidth="1" width="9.140625"/>
    <col min="8804" max="8804" customWidth="1" width="9.140625"/>
    <col min="8805" max="8805" customWidth="1" width="9.140625"/>
    <col min="8806" max="8806" customWidth="1" width="9.140625"/>
    <col min="8807" max="8807" customWidth="1" width="9.140625"/>
    <col min="8808" max="8808" customWidth="1" width="9.140625"/>
    <col min="8809" max="8809" customWidth="1" width="9.140625"/>
    <col min="8810" max="8810" customWidth="1" width="9.140625"/>
    <col min="8811" max="8811" customWidth="1" width="9.140625"/>
    <col min="8812" max="8812" customWidth="1" width="9.140625"/>
    <col min="8813" max="8813" customWidth="1" width="9.140625"/>
    <col min="8814" max="8814" customWidth="1" width="9.140625"/>
    <col min="8815" max="8815" customWidth="1" width="9.140625"/>
    <col min="8816" max="8816" customWidth="1" width="9.140625"/>
    <col min="8817" max="8817" customWidth="1" width="9.140625"/>
    <col min="8818" max="8818" customWidth="1" width="9.140625"/>
    <col min="8819" max="8819" customWidth="1" width="9.140625"/>
    <col min="8820" max="8820" customWidth="1" width="9.140625"/>
    <col min="8821" max="8821" customWidth="1" width="9.140625"/>
    <col min="8822" max="8822" customWidth="1" width="9.140625"/>
    <col min="8823" max="8823" customWidth="1" width="9.140625"/>
    <col min="8824" max="8824" customWidth="1" width="9.140625"/>
    <col min="8825" max="8825" customWidth="1" width="9.140625"/>
    <col min="8826" max="8826" customWidth="1" width="9.140625"/>
    <col min="8827" max="8827" customWidth="1" width="9.140625"/>
    <col min="8828" max="8828" customWidth="1" width="9.140625"/>
    <col min="8829" max="8829" customWidth="1" width="9.140625"/>
    <col min="8830" max="8830" customWidth="1" width="9.140625"/>
    <col min="8831" max="8831" customWidth="1" width="9.140625"/>
    <col min="8832" max="8832" customWidth="1" width="9.140625"/>
    <col min="8833" max="8833" customWidth="1" width="9.140625"/>
    <col min="8834" max="8834" customWidth="1" width="9.140625"/>
    <col min="8835" max="8835" customWidth="1" width="9.140625"/>
    <col min="8836" max="8836" customWidth="1" width="9.140625"/>
    <col min="8837" max="8837" customWidth="1" width="9.140625"/>
    <col min="8838" max="8838" customWidth="1" width="9.140625"/>
    <col min="8839" max="8839" customWidth="1" width="9.140625"/>
    <col min="8840" max="8840" customWidth="1" width="9.140625"/>
    <col min="8841" max="8841" customWidth="1" width="9.140625"/>
    <col min="8842" max="8842" customWidth="1" width="9.140625"/>
    <col min="8843" max="8843" customWidth="1" width="9.140625"/>
    <col min="8844" max="8844" customWidth="1" width="9.140625"/>
    <col min="8845" max="8845" customWidth="1" width="9.140625"/>
    <col min="8846" max="8846" customWidth="1" width="9.140625"/>
    <col min="8847" max="8847" customWidth="1" width="9.140625"/>
    <col min="8848" max="8848" customWidth="1" width="9.140625"/>
    <col min="8849" max="8849" customWidth="1" width="9.140625"/>
    <col min="8850" max="8850" customWidth="1" width="9.140625"/>
    <col min="8851" max="8851" customWidth="1" width="9.140625"/>
    <col min="8852" max="8852" customWidth="1" width="9.140625"/>
    <col min="8853" max="8853" customWidth="1" width="9.140625"/>
    <col min="8854" max="8854" customWidth="1" width="9.140625"/>
    <col min="8855" max="8855" customWidth="1" width="9.140625"/>
    <col min="8856" max="8856" customWidth="1" width="9.140625"/>
    <col min="8857" max="8857" customWidth="1" width="9.140625"/>
    <col min="8858" max="8858" customWidth="1" width="9.140625"/>
    <col min="8859" max="8859" customWidth="1" width="9.140625"/>
    <col min="8860" max="8860" customWidth="1" width="9.140625"/>
    <col min="8861" max="8861" customWidth="1" width="9.140625"/>
    <col min="8862" max="8862" customWidth="1" width="9.140625"/>
    <col min="8863" max="8863" customWidth="1" width="9.140625"/>
    <col min="8864" max="8864" customWidth="1" width="9.140625"/>
    <col min="8865" max="8865" customWidth="1" width="9.140625"/>
    <col min="8866" max="8866" customWidth="1" width="9.140625"/>
    <col min="8867" max="8867" customWidth="1" width="9.140625"/>
    <col min="8868" max="8868" customWidth="1" width="9.140625"/>
    <col min="8869" max="8869" customWidth="1" width="9.140625"/>
    <col min="8870" max="8870" customWidth="1" width="9.140625"/>
    <col min="8871" max="8871" customWidth="1" width="9.140625"/>
    <col min="8872" max="8872" customWidth="1" width="9.140625"/>
    <col min="8873" max="8873" customWidth="1" width="9.140625"/>
    <col min="8874" max="8874" customWidth="1" width="9.140625"/>
    <col min="8875" max="8875" customWidth="1" width="9.140625"/>
    <col min="8876" max="8876" customWidth="1" width="9.140625"/>
    <col min="8877" max="8877" customWidth="1" width="9.140625"/>
    <col min="8878" max="8878" customWidth="1" width="9.140625"/>
    <col min="8879" max="8879" customWidth="1" width="9.140625"/>
    <col min="8880" max="8880" customWidth="1" width="9.140625"/>
    <col min="8881" max="8881" customWidth="1" width="9.140625"/>
    <col min="8882" max="8882" customWidth="1" width="9.140625"/>
    <col min="8883" max="8883" customWidth="1" width="9.140625"/>
    <col min="8884" max="8884" customWidth="1" width="9.140625"/>
    <col min="8885" max="8885" customWidth="1" width="9.140625"/>
    <col min="8886" max="8886" customWidth="1" width="9.140625"/>
    <col min="8887" max="8887" customWidth="1" width="9.140625"/>
    <col min="8888" max="8888" customWidth="1" width="9.140625"/>
    <col min="8889" max="8889" customWidth="1" width="9.140625"/>
    <col min="8890" max="8890" customWidth="1" width="9.140625"/>
    <col min="8891" max="8891" customWidth="1" width="9.140625"/>
    <col min="8892" max="8892" customWidth="1" width="9.140625"/>
    <col min="8893" max="8893" customWidth="1" width="9.140625"/>
    <col min="8894" max="8894" customWidth="1" width="9.140625"/>
    <col min="8895" max="8895" customWidth="1" width="9.140625"/>
    <col min="8896" max="8896" customWidth="1" width="9.140625"/>
    <col min="8897" max="8897" customWidth="1" width="9.140625"/>
    <col min="8898" max="8898" customWidth="1" width="9.140625"/>
    <col min="8899" max="8899" customWidth="1" width="9.140625"/>
    <col min="8900" max="8900" customWidth="1" width="9.140625"/>
    <col min="8901" max="8901" customWidth="1" width="9.140625"/>
    <col min="8902" max="8902" customWidth="1" width="9.140625"/>
    <col min="8903" max="8903" customWidth="1" width="9.140625"/>
    <col min="8904" max="8904" customWidth="1" width="9.140625"/>
    <col min="8905" max="8905" customWidth="1" width="9.140625"/>
    <col min="8906" max="8906" customWidth="1" width="9.140625"/>
    <col min="8907" max="8907" customWidth="1" width="9.140625"/>
    <col min="8908" max="8908" customWidth="1" width="9.140625"/>
    <col min="8909" max="8909" customWidth="1" width="9.140625"/>
    <col min="8910" max="8910" customWidth="1" width="9.140625"/>
    <col min="8911" max="8911" customWidth="1" width="9.140625"/>
    <col min="8912" max="8912" customWidth="1" width="9.140625"/>
    <col min="8913" max="8913" customWidth="1" width="9.140625"/>
    <col min="8914" max="8914" customWidth="1" width="9.140625"/>
    <col min="8915" max="8915" customWidth="1" width="9.140625"/>
    <col min="8916" max="8916" customWidth="1" width="9.140625"/>
    <col min="8917" max="8917" customWidth="1" width="9.140625"/>
    <col min="8918" max="8918" customWidth="1" width="9.140625"/>
    <col min="8919" max="8919" customWidth="1" width="9.140625"/>
    <col min="8920" max="8920" customWidth="1" width="9.140625"/>
    <col min="8921" max="8921" customWidth="1" width="9.140625"/>
    <col min="8922" max="8922" customWidth="1" width="9.140625"/>
    <col min="8923" max="8923" customWidth="1" width="9.140625"/>
    <col min="8924" max="8924" customWidth="1" width="9.140625"/>
    <col min="8925" max="8925" customWidth="1" width="9.140625"/>
    <col min="8926" max="8926" customWidth="1" width="9.140625"/>
    <col min="8927" max="8927" customWidth="1" width="9.140625"/>
    <col min="8928" max="8928" customWidth="1" width="9.140625"/>
    <col min="8929" max="8929" customWidth="1" width="9.140625"/>
    <col min="8930" max="8930" customWidth="1" width="9.140625"/>
    <col min="8931" max="8931" customWidth="1" width="9.140625"/>
    <col min="8932" max="8932" customWidth="1" width="9.140625"/>
    <col min="8933" max="8933" customWidth="1" width="9.140625"/>
    <col min="8934" max="8934" customWidth="1" width="9.140625"/>
    <col min="8935" max="8935" customWidth="1" width="9.140625"/>
    <col min="8936" max="8936" customWidth="1" width="9.140625"/>
    <col min="8937" max="8937" customWidth="1" width="9.140625"/>
    <col min="8938" max="8938" customWidth="1" width="9.140625"/>
    <col min="8939" max="8939" customWidth="1" width="9.140625"/>
    <col min="8940" max="8940" customWidth="1" width="9.140625"/>
    <col min="8941" max="8941" customWidth="1" width="9.140625"/>
    <col min="8942" max="8942" customWidth="1" width="9.140625"/>
    <col min="8943" max="8943" customWidth="1" width="9.140625"/>
    <col min="8944" max="8944" customWidth="1" width="9.140625"/>
    <col min="8945" max="8945" customWidth="1" width="9.140625"/>
    <col min="8946" max="8946" customWidth="1" width="9.140625"/>
    <col min="8947" max="8947" customWidth="1" width="9.140625"/>
    <col min="8948" max="8948" customWidth="1" width="9.140625"/>
    <col min="8949" max="8949" customWidth="1" width="9.140625"/>
    <col min="8950" max="8950" customWidth="1" width="9.140625"/>
    <col min="8951" max="8951" customWidth="1" width="9.140625"/>
    <col min="8952" max="8952" customWidth="1" width="9.140625"/>
    <col min="8953" max="8953" customWidth="1" width="9.140625"/>
    <col min="8954" max="8954" customWidth="1" width="9.140625"/>
    <col min="8955" max="8955" customWidth="1" width="9.140625"/>
    <col min="8956" max="8956" customWidth="1" width="9.140625"/>
    <col min="8957" max="8957" customWidth="1" width="9.140625"/>
    <col min="8958" max="8958" customWidth="1" width="9.140625"/>
    <col min="8959" max="8959" customWidth="1" width="9.140625"/>
    <col min="8960" max="8960" customWidth="1" width="9.140625"/>
    <col min="8961" max="8961" customWidth="1" width="9.140625"/>
    <col min="8962" max="8962" customWidth="1" width="9.140625"/>
    <col min="8963" max="8963" customWidth="1" width="9.140625"/>
    <col min="8964" max="8964" customWidth="1" width="9.140625"/>
    <col min="8965" max="8965" customWidth="1" width="9.140625"/>
    <col min="8966" max="8966" customWidth="1" width="9.140625"/>
    <col min="8967" max="8967" customWidth="1" width="9.140625"/>
    <col min="8968" max="8968" customWidth="1" width="9.140625"/>
    <col min="8969" max="8969" customWidth="1" width="9.140625"/>
    <col min="8970" max="8970" customWidth="1" width="9.140625"/>
    <col min="8971" max="8971" customWidth="1" width="9.140625"/>
    <col min="8972" max="8972" customWidth="1" width="9.140625"/>
    <col min="8973" max="8973" customWidth="1" width="9.140625"/>
    <col min="8974" max="8974" customWidth="1" width="9.140625"/>
    <col min="8975" max="8975" customWidth="1" width="9.140625"/>
    <col min="8976" max="8976" customWidth="1" width="9.140625"/>
    <col min="8977" max="8977" customWidth="1" width="9.140625"/>
    <col min="8978" max="8978" customWidth="1" width="9.140625"/>
    <col min="8979" max="8979" customWidth="1" width="9.140625"/>
    <col min="8980" max="8980" customWidth="1" width="9.140625"/>
    <col min="8981" max="8981" customWidth="1" width="9.140625"/>
    <col min="8982" max="8982" customWidth="1" width="9.140625"/>
    <col min="8983" max="8983" customWidth="1" width="9.140625"/>
    <col min="8984" max="8984" customWidth="1" width="9.140625"/>
    <col min="8985" max="8985" customWidth="1" width="9.140625"/>
    <col min="8986" max="8986" customWidth="1" width="9.140625"/>
    <col min="8987" max="8987" customWidth="1" width="9.140625"/>
    <col min="8988" max="8988" customWidth="1" width="9.140625"/>
    <col min="8989" max="8989" customWidth="1" width="9.140625"/>
    <col min="8990" max="8990" customWidth="1" width="9.140625"/>
    <col min="8991" max="8991" customWidth="1" width="9.140625"/>
    <col min="8992" max="8992" customWidth="1" width="9.140625"/>
    <col min="8993" max="8993" customWidth="1" width="9.140625"/>
    <col min="8994" max="8994" customWidth="1" width="9.140625"/>
    <col min="8995" max="8995" customWidth="1" width="9.140625"/>
    <col min="8996" max="8996" customWidth="1" width="9.140625"/>
    <col min="8997" max="8997" customWidth="1" width="9.140625"/>
    <col min="8998" max="8998" customWidth="1" width="9.140625"/>
    <col min="8999" max="8999" customWidth="1" width="9.140625"/>
    <col min="9000" max="9000" customWidth="1" width="9.140625"/>
    <col min="9001" max="9001" customWidth="1" width="9.140625"/>
    <col min="9002" max="9002" customWidth="1" width="9.140625"/>
    <col min="9003" max="9003" customWidth="1" width="9.140625"/>
    <col min="9004" max="9004" customWidth="1" width="9.140625"/>
    <col min="9005" max="9005" customWidth="1" width="9.140625"/>
    <col min="9006" max="9006" customWidth="1" width="9.140625"/>
    <col min="9007" max="9007" customWidth="1" width="9.140625"/>
    <col min="9008" max="9008" customWidth="1" width="9.140625"/>
    <col min="9009" max="9009" customWidth="1" width="9.140625"/>
    <col min="9010" max="9010" customWidth="1" width="9.140625"/>
    <col min="9011" max="9011" customWidth="1" width="9.140625"/>
    <col min="9012" max="9012" customWidth="1" width="9.140625"/>
    <col min="9013" max="9013" customWidth="1" width="9.140625"/>
    <col min="9014" max="9014" customWidth="1" width="9.140625"/>
    <col min="9015" max="9015" customWidth="1" width="9.140625"/>
    <col min="9016" max="9016" customWidth="1" width="9.140625"/>
    <col min="9017" max="9017" customWidth="1" width="9.140625"/>
    <col min="9018" max="9018" customWidth="1" width="9.140625"/>
    <col min="9019" max="9019" customWidth="1" width="9.140625"/>
    <col min="9020" max="9020" customWidth="1" width="9.140625"/>
    <col min="9021" max="9021" customWidth="1" width="9.140625"/>
    <col min="9022" max="9022" customWidth="1" width="9.140625"/>
    <col min="9023" max="9023" customWidth="1" width="9.140625"/>
    <col min="9024" max="9024" customWidth="1" width="9.140625"/>
    <col min="9025" max="9025" customWidth="1" width="9.140625"/>
    <col min="9026" max="9026" customWidth="1" width="9.140625"/>
    <col min="9027" max="9027" customWidth="1" width="9.140625"/>
    <col min="9028" max="9028" customWidth="1" width="9.140625"/>
    <col min="9029" max="9029" customWidth="1" width="9.140625"/>
    <col min="9030" max="9030" customWidth="1" width="9.140625"/>
    <col min="9031" max="9031" customWidth="1" width="9.140625"/>
    <col min="9032" max="9032" customWidth="1" width="9.140625"/>
    <col min="9033" max="9033" customWidth="1" width="9.140625"/>
    <col min="9034" max="9034" customWidth="1" width="9.140625"/>
    <col min="9035" max="9035" customWidth="1" width="9.140625"/>
    <col min="9036" max="9036" customWidth="1" width="9.140625"/>
    <col min="9037" max="9037" customWidth="1" width="9.140625"/>
    <col min="9038" max="9038" customWidth="1" width="9.140625"/>
    <col min="9039" max="9039" customWidth="1" width="9.140625"/>
    <col min="9040" max="9040" customWidth="1" width="9.140625"/>
    <col min="9041" max="9041" customWidth="1" width="9.140625"/>
    <col min="9042" max="9042" customWidth="1" width="9.140625"/>
    <col min="9043" max="9043" customWidth="1" width="9.140625"/>
    <col min="9044" max="9044" customWidth="1" width="9.140625"/>
    <col min="9045" max="9045" customWidth="1" width="9.140625"/>
    <col min="9046" max="9046" customWidth="1" width="9.140625"/>
    <col min="9047" max="9047" customWidth="1" width="9.140625"/>
    <col min="9048" max="9048" customWidth="1" width="9.140625"/>
    <col min="9049" max="9049" customWidth="1" width="9.140625"/>
    <col min="9050" max="9050" customWidth="1" width="9.140625"/>
    <col min="9051" max="9051" customWidth="1" width="9.140625"/>
    <col min="9052" max="9052" customWidth="1" width="9.140625"/>
    <col min="9053" max="9053" customWidth="1" width="9.140625"/>
    <col min="9054" max="9054" customWidth="1" width="9.140625"/>
    <col min="9055" max="9055" customWidth="1" width="9.140625"/>
    <col min="9056" max="9056" customWidth="1" width="9.140625"/>
    <col min="9057" max="9057" customWidth="1" width="9.140625"/>
    <col min="9058" max="9058" customWidth="1" width="9.140625"/>
    <col min="9059" max="9059" customWidth="1" width="9.140625"/>
    <col min="9060" max="9060" customWidth="1" width="9.140625"/>
    <col min="9061" max="9061" customWidth="1" width="9.140625"/>
    <col min="9062" max="9062" customWidth="1" width="9.140625"/>
    <col min="9063" max="9063" customWidth="1" width="9.140625"/>
    <col min="9064" max="9064" customWidth="1" width="9.140625"/>
    <col min="9065" max="9065" customWidth="1" width="9.140625"/>
    <col min="9066" max="9066" customWidth="1" width="9.140625"/>
    <col min="9067" max="9067" customWidth="1" width="9.140625"/>
    <col min="9068" max="9068" customWidth="1" width="9.140625"/>
    <col min="9069" max="9069" customWidth="1" width="9.140625"/>
    <col min="9070" max="9070" customWidth="1" width="9.140625"/>
    <col min="9071" max="9071" customWidth="1" width="9.140625"/>
    <col min="9072" max="9072" customWidth="1" width="9.140625"/>
    <col min="9073" max="9073" customWidth="1" width="9.140625"/>
    <col min="9074" max="9074" customWidth="1" width="9.140625"/>
    <col min="9075" max="9075" customWidth="1" width="9.140625"/>
    <col min="9076" max="9076" customWidth="1" width="9.140625"/>
    <col min="9077" max="9077" customWidth="1" width="9.140625"/>
    <col min="9078" max="9078" customWidth="1" width="9.140625"/>
    <col min="9079" max="9079" customWidth="1" width="9.140625"/>
    <col min="9080" max="9080" customWidth="1" width="9.140625"/>
    <col min="9081" max="9081" customWidth="1" width="9.140625"/>
    <col min="9082" max="9082" customWidth="1" width="9.140625"/>
    <col min="9083" max="9083" customWidth="1" width="9.140625"/>
    <col min="9084" max="9084" customWidth="1" width="9.140625"/>
    <col min="9085" max="9085" customWidth="1" width="9.140625"/>
    <col min="9086" max="9086" customWidth="1" width="9.140625"/>
    <col min="9087" max="9087" customWidth="1" width="9.140625"/>
    <col min="9088" max="9088" customWidth="1" width="9.140625"/>
    <col min="9089" max="9089" customWidth="1" width="9.140625"/>
    <col min="9090" max="9090" customWidth="1" width="9.140625"/>
    <col min="9091" max="9091" customWidth="1" width="9.140625"/>
    <col min="9092" max="9092" customWidth="1" width="9.140625"/>
    <col min="9093" max="9093" customWidth="1" width="9.140625"/>
    <col min="9094" max="9094" customWidth="1" width="9.140625"/>
    <col min="9095" max="9095" customWidth="1" width="9.140625"/>
    <col min="9096" max="9096" customWidth="1" width="9.140625"/>
    <col min="9097" max="9097" customWidth="1" width="9.140625"/>
    <col min="9098" max="9098" customWidth="1" width="9.140625"/>
    <col min="9099" max="9099" customWidth="1" width="9.140625"/>
    <col min="9100" max="9100" customWidth="1" width="9.140625"/>
    <col min="9101" max="9101" customWidth="1" width="9.140625"/>
    <col min="9102" max="9102" customWidth="1" width="9.140625"/>
    <col min="9103" max="9103" customWidth="1" width="9.140625"/>
    <col min="9104" max="9104" customWidth="1" width="9.140625"/>
    <col min="9105" max="9105" customWidth="1" width="9.140625"/>
    <col min="9106" max="9106" customWidth="1" width="9.140625"/>
    <col min="9107" max="9107" customWidth="1" width="9.140625"/>
    <col min="9108" max="9108" customWidth="1" width="9.140625"/>
    <col min="9109" max="9109" customWidth="1" width="9.140625"/>
    <col min="9110" max="9110" customWidth="1" width="9.140625"/>
    <col min="9111" max="9111" customWidth="1" width="9.140625"/>
    <col min="9112" max="9112" customWidth="1" width="9.140625"/>
    <col min="9113" max="9113" customWidth="1" width="9.140625"/>
    <col min="9114" max="9114" customWidth="1" width="9.140625"/>
    <col min="9115" max="9115" customWidth="1" width="9.140625"/>
    <col min="9116" max="9116" customWidth="1" width="9.140625"/>
    <col min="9117" max="9117" customWidth="1" width="9.140625"/>
    <col min="9118" max="9118" customWidth="1" width="9.140625"/>
    <col min="9119" max="9119" customWidth="1" width="9.140625"/>
    <col min="9120" max="9120" customWidth="1" width="9.140625"/>
    <col min="9121" max="9121" customWidth="1" width="9.140625"/>
    <col min="9122" max="9122" customWidth="1" width="9.140625"/>
    <col min="9123" max="9123" customWidth="1" width="9.140625"/>
    <col min="9124" max="9124" customWidth="1" width="9.140625"/>
    <col min="9125" max="9125" customWidth="1" width="9.140625"/>
    <col min="9126" max="9126" customWidth="1" width="9.140625"/>
    <col min="9127" max="9127" customWidth="1" width="9.140625"/>
    <col min="9128" max="9128" customWidth="1" width="9.140625"/>
    <col min="9129" max="9129" customWidth="1" width="9.140625"/>
    <col min="9130" max="9130" customWidth="1" width="9.140625"/>
    <col min="9131" max="9131" customWidth="1" width="9.140625"/>
    <col min="9132" max="9132" customWidth="1" width="9.140625"/>
    <col min="9133" max="9133" customWidth="1" width="9.140625"/>
    <col min="9134" max="9134" customWidth="1" width="9.140625"/>
    <col min="9135" max="9135" customWidth="1" width="9.140625"/>
    <col min="9136" max="9136" customWidth="1" width="9.140625"/>
    <col min="9137" max="9137" customWidth="1" width="9.140625"/>
    <col min="9138" max="9138" customWidth="1" width="9.140625"/>
    <col min="9139" max="9139" customWidth="1" width="9.140625"/>
    <col min="9140" max="9140" customWidth="1" width="9.140625"/>
    <col min="9141" max="9141" customWidth="1" width="9.140625"/>
    <col min="9142" max="9142" customWidth="1" width="9.140625"/>
    <col min="9143" max="9143" customWidth="1" width="9.140625"/>
    <col min="9144" max="9144" customWidth="1" width="9.140625"/>
    <col min="9145" max="9145" customWidth="1" width="9.140625"/>
    <col min="9146" max="9146" customWidth="1" width="9.140625"/>
    <col min="9147" max="9147" customWidth="1" width="9.140625"/>
    <col min="9148" max="9148" customWidth="1" width="9.140625"/>
    <col min="9149" max="9149" customWidth="1" width="9.140625"/>
    <col min="9150" max="9150" customWidth="1" width="9.140625"/>
    <col min="9151" max="9151" customWidth="1" width="9.140625"/>
    <col min="9152" max="9152" customWidth="1" width="9.140625"/>
    <col min="9153" max="9153" customWidth="1" width="9.140625"/>
    <col min="9154" max="9154" customWidth="1" width="9.140625"/>
    <col min="9155" max="9155" customWidth="1" width="9.140625"/>
    <col min="9156" max="9156" customWidth="1" width="9.140625"/>
    <col min="9157" max="9157" customWidth="1" width="9.140625"/>
    <col min="9158" max="9158" customWidth="1" width="9.140625"/>
    <col min="9159" max="9159" customWidth="1" width="9.140625"/>
    <col min="9160" max="9160" customWidth="1" width="9.140625"/>
    <col min="9161" max="9161" customWidth="1" width="9.140625"/>
    <col min="9162" max="9162" customWidth="1" width="9.140625"/>
    <col min="9163" max="9163" customWidth="1" width="9.140625"/>
    <col min="9164" max="9164" customWidth="1" width="9.140625"/>
    <col min="9165" max="9165" customWidth="1" width="9.140625"/>
    <col min="9166" max="9166" customWidth="1" width="9.140625"/>
    <col min="9167" max="9167" customWidth="1" width="9.140625"/>
    <col min="9168" max="9168" customWidth="1" width="9.140625"/>
    <col min="9169" max="9169" customWidth="1" width="9.140625"/>
    <col min="9170" max="9170" customWidth="1" width="9.140625"/>
    <col min="9171" max="9171" customWidth="1" width="9.140625"/>
    <col min="9172" max="9172" customWidth="1" width="9.140625"/>
    <col min="9173" max="9173" customWidth="1" width="9.140625"/>
    <col min="9174" max="9174" customWidth="1" width="9.140625"/>
    <col min="9175" max="9175" customWidth="1" width="9.140625"/>
    <col min="9176" max="9176" customWidth="1" width="9.140625"/>
    <col min="9177" max="9177" customWidth="1" width="9.140625"/>
    <col min="9178" max="9178" customWidth="1" width="9.140625"/>
    <col min="9179" max="9179" customWidth="1" width="9.140625"/>
    <col min="9180" max="9180" customWidth="1" width="9.140625"/>
    <col min="9181" max="9181" customWidth="1" width="9.140625"/>
    <col min="9182" max="9182" customWidth="1" width="9.140625"/>
    <col min="9183" max="9183" customWidth="1" width="9.140625"/>
    <col min="9184" max="9184" customWidth="1" width="9.140625"/>
    <col min="9185" max="9185" customWidth="1" width="9.140625"/>
    <col min="9186" max="9186" customWidth="1" width="9.140625"/>
    <col min="9187" max="9187" customWidth="1" width="9.140625"/>
    <col min="9188" max="9188" customWidth="1" width="9.140625"/>
    <col min="9189" max="9189" customWidth="1" width="9.140625"/>
    <col min="9190" max="9190" customWidth="1" width="9.140625"/>
    <col min="9191" max="9191" customWidth="1" width="9.140625"/>
    <col min="9192" max="9192" customWidth="1" width="9.140625"/>
    <col min="9193" max="9193" customWidth="1" width="9.140625"/>
    <col min="9194" max="9194" customWidth="1" width="9.140625"/>
    <col min="9195" max="9195" customWidth="1" width="9.140625"/>
    <col min="9196" max="9196" customWidth="1" width="9.140625"/>
    <col min="9197" max="9197" customWidth="1" width="9.140625"/>
    <col min="9198" max="9198" customWidth="1" width="9.140625"/>
    <col min="9199" max="9199" customWidth="1" width="9.140625"/>
    <col min="9200" max="9200" customWidth="1" width="9.140625"/>
    <col min="9201" max="9201" customWidth="1" width="9.140625"/>
    <col min="9202" max="9202" customWidth="1" width="9.140625"/>
    <col min="9203" max="9203" customWidth="1" width="9.140625"/>
    <col min="9204" max="9204" customWidth="1" width="9.140625"/>
    <col min="9205" max="9205" customWidth="1" width="9.140625"/>
    <col min="9206" max="9206" customWidth="1" width="9.140625"/>
    <col min="9207" max="9207" customWidth="1" width="9.140625"/>
    <col min="9208" max="9208" customWidth="1" width="9.140625"/>
    <col min="9209" max="9209" customWidth="1" width="9.140625"/>
    <col min="9210" max="9210" customWidth="1" width="9.140625"/>
    <col min="9211" max="9211" customWidth="1" width="9.140625"/>
    <col min="9212" max="9212" customWidth="1" width="9.140625"/>
    <col min="9213" max="9213" customWidth="1" width="9.140625"/>
    <col min="9214" max="9214" customWidth="1" width="9.140625"/>
    <col min="9215" max="9215" customWidth="1" width="9.140625"/>
    <col min="9216" max="9216" customWidth="1" width="9.140625"/>
    <col min="9217" max="9217" customWidth="1" width="9.140625"/>
    <col min="9218" max="9218" customWidth="1" width="9.140625"/>
    <col min="9219" max="9219" customWidth="1" width="9.140625"/>
    <col min="9220" max="9220" customWidth="1" width="9.140625"/>
    <col min="9221" max="9221" customWidth="1" width="9.140625"/>
    <col min="9222" max="9222" customWidth="1" width="9.140625"/>
    <col min="9223" max="9223" customWidth="1" width="9.140625"/>
    <col min="9224" max="9224" customWidth="1" width="9.140625"/>
    <col min="9225" max="9225" customWidth="1" width="9.140625"/>
    <col min="9226" max="9226" customWidth="1" width="9.140625"/>
    <col min="9227" max="9227" customWidth="1" width="9.140625"/>
    <col min="9228" max="9228" customWidth="1" width="9.140625"/>
    <col min="9229" max="9229" customWidth="1" width="9.140625"/>
    <col min="9230" max="9230" customWidth="1" width="9.140625"/>
    <col min="9231" max="9231" customWidth="1" width="9.140625"/>
    <col min="9232" max="9232" customWidth="1" width="9.140625"/>
    <col min="9233" max="9233" customWidth="1" width="9.140625"/>
    <col min="9234" max="9234" customWidth="1" width="9.140625"/>
    <col min="9235" max="9235" customWidth="1" width="9.140625"/>
    <col min="9236" max="9236" customWidth="1" width="9.140625"/>
    <col min="9237" max="9237" customWidth="1" width="9.140625"/>
    <col min="9238" max="9238" customWidth="1" width="9.140625"/>
    <col min="9239" max="9239" customWidth="1" width="9.140625"/>
    <col min="9240" max="9240" customWidth="1" width="9.140625"/>
    <col min="9241" max="9241" customWidth="1" width="9.140625"/>
    <col min="9242" max="9242" customWidth="1" width="9.140625"/>
    <col min="9243" max="9243" customWidth="1" width="9.140625"/>
    <col min="9244" max="9244" customWidth="1" width="9.140625"/>
    <col min="9245" max="9245" customWidth="1" width="9.140625"/>
    <col min="9246" max="9246" customWidth="1" width="9.140625"/>
    <col min="9247" max="9247" customWidth="1" width="9.140625"/>
    <col min="9248" max="9248" customWidth="1" width="9.140625"/>
    <col min="9249" max="9249" customWidth="1" width="9.140625"/>
    <col min="9250" max="9250" customWidth="1" width="9.140625"/>
    <col min="9251" max="9251" customWidth="1" width="9.140625"/>
    <col min="9252" max="9252" customWidth="1" width="9.140625"/>
    <col min="9253" max="9253" customWidth="1" width="9.140625"/>
    <col min="9254" max="9254" customWidth="1" width="9.140625"/>
    <col min="9255" max="9255" customWidth="1" width="9.140625"/>
    <col min="9256" max="9256" customWidth="1" width="9.140625"/>
    <col min="9257" max="9257" customWidth="1" width="9.140625"/>
    <col min="9258" max="9258" customWidth="1" width="9.140625"/>
    <col min="9259" max="9259" customWidth="1" width="9.140625"/>
    <col min="9260" max="9260" customWidth="1" width="9.140625"/>
    <col min="9261" max="9261" customWidth="1" width="9.140625"/>
    <col min="9262" max="9262" customWidth="1" width="9.140625"/>
    <col min="9263" max="9263" customWidth="1" width="9.140625"/>
    <col min="9264" max="9264" customWidth="1" width="9.140625"/>
    <col min="9265" max="9265" customWidth="1" width="9.140625"/>
    <col min="9266" max="9266" customWidth="1" width="9.140625"/>
    <col min="9267" max="9267" customWidth="1" width="9.140625"/>
    <col min="9268" max="9268" customWidth="1" width="9.140625"/>
    <col min="9269" max="9269" customWidth="1" width="9.140625"/>
    <col min="9270" max="9270" customWidth="1" width="9.140625"/>
    <col min="9271" max="9271" customWidth="1" width="9.140625"/>
    <col min="9272" max="9272" customWidth="1" width="9.140625"/>
    <col min="9273" max="9273" customWidth="1" width="9.140625"/>
    <col min="9274" max="9274" customWidth="1" width="9.140625"/>
    <col min="9275" max="9275" customWidth="1" width="9.140625"/>
    <col min="9276" max="9276" customWidth="1" width="9.140625"/>
    <col min="9277" max="9277" customWidth="1" width="9.140625"/>
    <col min="9278" max="9278" customWidth="1" width="9.140625"/>
    <col min="9279" max="9279" customWidth="1" width="9.140625"/>
    <col min="9280" max="9280" customWidth="1" width="9.140625"/>
    <col min="9281" max="9281" customWidth="1" width="9.140625"/>
    <col min="9282" max="9282" customWidth="1" width="9.140625"/>
    <col min="9283" max="9283" customWidth="1" width="9.140625"/>
    <col min="9284" max="9284" customWidth="1" width="9.140625"/>
    <col min="9285" max="9285" customWidth="1" width="9.140625"/>
    <col min="9286" max="9286" customWidth="1" width="9.140625"/>
    <col min="9287" max="9287" customWidth="1" width="9.140625"/>
    <col min="9288" max="9288" customWidth="1" width="9.140625"/>
    <col min="9289" max="9289" customWidth="1" width="9.140625"/>
    <col min="9290" max="9290" customWidth="1" width="9.140625"/>
    <col min="9291" max="9291" customWidth="1" width="9.140625"/>
    <col min="9292" max="9292" customWidth="1" width="9.140625"/>
    <col min="9293" max="9293" customWidth="1" width="9.140625"/>
    <col min="9294" max="9294" customWidth="1" width="9.140625"/>
    <col min="9295" max="9295" customWidth="1" width="9.140625"/>
    <col min="9296" max="9296" customWidth="1" width="9.140625"/>
    <col min="9297" max="9297" customWidth="1" width="9.140625"/>
    <col min="9298" max="9298" customWidth="1" width="9.140625"/>
    <col min="9299" max="9299" customWidth="1" width="9.140625"/>
    <col min="9300" max="9300" customWidth="1" width="9.140625"/>
    <col min="9301" max="9301" customWidth="1" width="9.140625"/>
    <col min="9302" max="9302" customWidth="1" width="9.140625"/>
    <col min="9303" max="9303" customWidth="1" width="9.140625"/>
    <col min="9304" max="9304" customWidth="1" width="9.140625"/>
    <col min="9305" max="9305" customWidth="1" width="9.140625"/>
    <col min="9306" max="9306" customWidth="1" width="9.140625"/>
    <col min="9307" max="9307" customWidth="1" width="9.140625"/>
    <col min="9308" max="9308" customWidth="1" width="9.140625"/>
    <col min="9309" max="9309" customWidth="1" width="9.140625"/>
    <col min="9310" max="9310" customWidth="1" width="9.140625"/>
    <col min="9311" max="9311" customWidth="1" width="9.140625"/>
    <col min="9312" max="9312" customWidth="1" width="9.140625"/>
    <col min="9313" max="9313" customWidth="1" width="9.140625"/>
    <col min="9314" max="9314" customWidth="1" width="9.140625"/>
    <col min="9315" max="9315" customWidth="1" width="9.140625"/>
    <col min="9316" max="9316" customWidth="1" width="9.140625"/>
    <col min="9317" max="9317" customWidth="1" width="9.140625"/>
    <col min="9318" max="9318" customWidth="1" width="9.140625"/>
    <col min="9319" max="9319" customWidth="1" width="9.140625"/>
    <col min="9320" max="9320" customWidth="1" width="9.140625"/>
    <col min="9321" max="9321" customWidth="1" width="9.140625"/>
    <col min="9322" max="9322" customWidth="1" width="9.140625"/>
    <col min="9323" max="9323" customWidth="1" width="9.140625"/>
    <col min="9324" max="9324" customWidth="1" width="9.140625"/>
    <col min="9325" max="9325" customWidth="1" width="9.140625"/>
    <col min="9326" max="9326" customWidth="1" width="9.140625"/>
    <col min="9327" max="9327" customWidth="1" width="9.140625"/>
    <col min="9328" max="9328" customWidth="1" width="9.140625"/>
    <col min="9329" max="9329" customWidth="1" width="9.140625"/>
    <col min="9330" max="9330" customWidth="1" width="9.140625"/>
    <col min="9331" max="9331" customWidth="1" width="9.140625"/>
    <col min="9332" max="9332" customWidth="1" width="9.140625"/>
    <col min="9333" max="9333" customWidth="1" width="9.140625"/>
    <col min="9334" max="9334" customWidth="1" width="9.140625"/>
    <col min="9335" max="9335" customWidth="1" width="9.140625"/>
    <col min="9336" max="9336" customWidth="1" width="9.140625"/>
    <col min="9337" max="9337" customWidth="1" width="9.140625"/>
    <col min="9338" max="9338" customWidth="1" width="9.140625"/>
    <col min="9339" max="9339" customWidth="1" width="9.140625"/>
    <col min="9340" max="9340" customWidth="1" width="9.140625"/>
    <col min="9341" max="9341" customWidth="1" width="9.140625"/>
    <col min="9342" max="9342" customWidth="1" width="9.140625"/>
    <col min="9343" max="9343" customWidth="1" width="9.140625"/>
    <col min="9344" max="9344" customWidth="1" width="9.140625"/>
    <col min="9345" max="9345" customWidth="1" width="9.140625"/>
    <col min="9346" max="9346" customWidth="1" width="9.140625"/>
    <col min="9347" max="9347" customWidth="1" width="9.140625"/>
    <col min="9348" max="9348" customWidth="1" width="9.140625"/>
    <col min="9349" max="9349" customWidth="1" width="9.140625"/>
    <col min="9350" max="9350" customWidth="1" width="9.140625"/>
    <col min="9351" max="9351" customWidth="1" width="9.140625"/>
    <col min="9352" max="9352" customWidth="1" width="9.140625"/>
    <col min="9353" max="9353" customWidth="1" width="9.140625"/>
    <col min="9354" max="9354" customWidth="1" width="9.140625"/>
    <col min="9355" max="9355" customWidth="1" width="9.140625"/>
    <col min="9356" max="9356" customWidth="1" width="9.140625"/>
    <col min="9357" max="9357" customWidth="1" width="9.140625"/>
    <col min="9358" max="9358" customWidth="1" width="9.140625"/>
    <col min="9359" max="9359" customWidth="1" width="9.140625"/>
    <col min="9360" max="9360" customWidth="1" width="9.140625"/>
    <col min="9361" max="9361" customWidth="1" width="9.140625"/>
    <col min="9362" max="9362" customWidth="1" width="9.140625"/>
    <col min="9363" max="9363" customWidth="1" width="9.140625"/>
    <col min="9364" max="9364" customWidth="1" width="9.140625"/>
    <col min="9365" max="9365" customWidth="1" width="9.140625"/>
    <col min="9366" max="9366" customWidth="1" width="9.140625"/>
    <col min="9367" max="9367" customWidth="1" width="9.140625"/>
    <col min="9368" max="9368" customWidth="1" width="9.140625"/>
    <col min="9369" max="9369" customWidth="1" width="9.140625"/>
    <col min="9370" max="9370" customWidth="1" width="9.140625"/>
    <col min="9371" max="9371" customWidth="1" width="9.140625"/>
    <col min="9372" max="9372" customWidth="1" width="9.140625"/>
    <col min="9373" max="9373" customWidth="1" width="9.140625"/>
    <col min="9374" max="9374" customWidth="1" width="9.140625"/>
    <col min="9375" max="9375" customWidth="1" width="9.140625"/>
    <col min="9376" max="9376" customWidth="1" width="9.140625"/>
    <col min="9377" max="9377" customWidth="1" width="9.140625"/>
    <col min="9378" max="9378" customWidth="1" width="9.140625"/>
    <col min="9379" max="9379" customWidth="1" width="9.140625"/>
    <col min="9380" max="9380" customWidth="1" width="9.140625"/>
    <col min="9381" max="9381" customWidth="1" width="9.140625"/>
    <col min="9382" max="9382" customWidth="1" width="9.140625"/>
    <col min="9383" max="9383" customWidth="1" width="9.140625"/>
    <col min="9384" max="9384" customWidth="1" width="9.140625"/>
    <col min="9385" max="9385" customWidth="1" width="9.140625"/>
    <col min="9386" max="9386" customWidth="1" width="9.140625"/>
    <col min="9387" max="9387" customWidth="1" width="9.140625"/>
    <col min="9388" max="9388" customWidth="1" width="9.140625"/>
    <col min="9389" max="9389" customWidth="1" width="9.140625"/>
    <col min="9390" max="9390" customWidth="1" width="9.140625"/>
    <col min="9391" max="9391" customWidth="1" width="9.140625"/>
    <col min="9392" max="9392" customWidth="1" width="9.140625"/>
    <col min="9393" max="9393" customWidth="1" width="9.140625"/>
    <col min="9394" max="9394" customWidth="1" width="9.140625"/>
    <col min="9395" max="9395" customWidth="1" width="9.140625"/>
    <col min="9396" max="9396" customWidth="1" width="9.140625"/>
    <col min="9397" max="9397" customWidth="1" width="9.140625"/>
    <col min="9398" max="9398" customWidth="1" width="9.140625"/>
    <col min="9399" max="9399" customWidth="1" width="9.140625"/>
    <col min="9400" max="9400" customWidth="1" width="9.140625"/>
    <col min="9401" max="9401" customWidth="1" width="9.140625"/>
    <col min="9402" max="9402" customWidth="1" width="9.140625"/>
    <col min="9403" max="9403" customWidth="1" width="9.140625"/>
    <col min="9404" max="9404" customWidth="1" width="9.140625"/>
    <col min="9405" max="9405" customWidth="1" width="9.140625"/>
    <col min="9406" max="9406" customWidth="1" width="9.140625"/>
    <col min="9407" max="9407" customWidth="1" width="9.140625"/>
    <col min="9408" max="9408" customWidth="1" width="9.140625"/>
    <col min="9409" max="9409" customWidth="1" width="9.140625"/>
    <col min="9410" max="9410" customWidth="1" width="9.140625"/>
    <col min="9411" max="9411" customWidth="1" width="9.140625"/>
    <col min="9412" max="9412" customWidth="1" width="9.140625"/>
    <col min="9413" max="9413" customWidth="1" width="9.140625"/>
    <col min="9414" max="9414" customWidth="1" width="9.140625"/>
    <col min="9415" max="9415" customWidth="1" width="9.140625"/>
    <col min="9416" max="9416" customWidth="1" width="9.140625"/>
    <col min="9417" max="9417" customWidth="1" width="9.140625"/>
    <col min="9418" max="9418" customWidth="1" width="9.140625"/>
    <col min="9419" max="9419" customWidth="1" width="9.140625"/>
    <col min="9420" max="9420" customWidth="1" width="9.140625"/>
    <col min="9421" max="9421" customWidth="1" width="9.140625"/>
    <col min="9422" max="9422" customWidth="1" width="9.140625"/>
    <col min="9423" max="9423" customWidth="1" width="9.140625"/>
    <col min="9424" max="9424" customWidth="1" width="9.140625"/>
    <col min="9425" max="9425" customWidth="1" width="9.140625"/>
    <col min="9426" max="9426" customWidth="1" width="9.140625"/>
    <col min="9427" max="9427" customWidth="1" width="9.140625"/>
    <col min="9428" max="9428" customWidth="1" width="9.140625"/>
    <col min="9429" max="9429" customWidth="1" width="9.140625"/>
    <col min="9430" max="9430" customWidth="1" width="9.140625"/>
    <col min="9431" max="9431" customWidth="1" width="9.140625"/>
    <col min="9432" max="9432" customWidth="1" width="9.140625"/>
    <col min="9433" max="9433" customWidth="1" width="9.140625"/>
    <col min="9434" max="9434" customWidth="1" width="9.140625"/>
    <col min="9435" max="9435" customWidth="1" width="9.140625"/>
    <col min="9436" max="9436" customWidth="1" width="9.140625"/>
    <col min="9437" max="9437" customWidth="1" width="9.140625"/>
    <col min="9438" max="9438" customWidth="1" width="9.140625"/>
    <col min="9439" max="9439" customWidth="1" width="9.140625"/>
    <col min="9440" max="9440" customWidth="1" width="9.140625"/>
    <col min="9441" max="9441" customWidth="1" width="9.140625"/>
    <col min="9442" max="9442" customWidth="1" width="9.140625"/>
    <col min="9443" max="9443" customWidth="1" width="9.140625"/>
    <col min="9444" max="9444" customWidth="1" width="9.140625"/>
    <col min="9445" max="9445" customWidth="1" width="9.140625"/>
    <col min="9446" max="9446" customWidth="1" width="9.140625"/>
    <col min="9447" max="9447" customWidth="1" width="9.140625"/>
    <col min="9448" max="9448" customWidth="1" width="9.140625"/>
    <col min="9449" max="9449" customWidth="1" width="9.140625"/>
    <col min="9450" max="9450" customWidth="1" width="9.140625"/>
    <col min="9451" max="9451" customWidth="1" width="9.140625"/>
    <col min="9452" max="9452" customWidth="1" width="9.140625"/>
    <col min="9453" max="9453" customWidth="1" width="9.140625"/>
    <col min="9454" max="9454" customWidth="1" width="9.140625"/>
    <col min="9455" max="9455" customWidth="1" width="9.140625"/>
    <col min="9456" max="9456" customWidth="1" width="9.140625"/>
    <col min="9457" max="9457" customWidth="1" width="9.140625"/>
    <col min="9458" max="9458" customWidth="1" width="9.140625"/>
    <col min="9459" max="9459" customWidth="1" width="9.140625"/>
    <col min="9460" max="9460" customWidth="1" width="9.140625"/>
    <col min="9461" max="9461" customWidth="1" width="9.140625"/>
    <col min="9462" max="9462" customWidth="1" width="9.140625"/>
    <col min="9463" max="9463" customWidth="1" width="9.140625"/>
    <col min="9464" max="9464" customWidth="1" width="9.140625"/>
    <col min="9465" max="9465" customWidth="1" width="9.140625"/>
    <col min="9466" max="9466" customWidth="1" width="9.140625"/>
    <col min="9467" max="9467" customWidth="1" width="9.140625"/>
    <col min="9468" max="9468" customWidth="1" width="9.140625"/>
    <col min="9469" max="9469" customWidth="1" width="9.140625"/>
    <col min="9470" max="9470" customWidth="1" width="9.140625"/>
    <col min="9471" max="9471" customWidth="1" width="9.140625"/>
    <col min="9472" max="9472" customWidth="1" width="9.140625"/>
    <col min="9473" max="9473" customWidth="1" width="9.140625"/>
    <col min="9474" max="9474" customWidth="1" width="9.140625"/>
    <col min="9475" max="9475" customWidth="1" width="9.140625"/>
    <col min="9476" max="9476" customWidth="1" width="9.140625"/>
    <col min="9477" max="9477" customWidth="1" width="9.140625"/>
    <col min="9478" max="9478" customWidth="1" width="9.140625"/>
    <col min="9479" max="9479" customWidth="1" width="9.140625"/>
    <col min="9480" max="9480" customWidth="1" width="9.140625"/>
    <col min="9481" max="9481" customWidth="1" width="9.140625"/>
    <col min="9482" max="9482" customWidth="1" width="9.140625"/>
    <col min="9483" max="9483" customWidth="1" width="9.140625"/>
    <col min="9484" max="9484" customWidth="1" width="9.140625"/>
    <col min="9485" max="9485" customWidth="1" width="9.140625"/>
    <col min="9486" max="9486" customWidth="1" width="9.140625"/>
    <col min="9487" max="9487" customWidth="1" width="9.140625"/>
    <col min="9488" max="9488" customWidth="1" width="9.140625"/>
    <col min="9489" max="9489" customWidth="1" width="9.140625"/>
    <col min="9490" max="9490" customWidth="1" width="9.140625"/>
    <col min="9491" max="9491" customWidth="1" width="9.140625"/>
    <col min="9492" max="9492" customWidth="1" width="9.140625"/>
    <col min="9493" max="9493" customWidth="1" width="9.140625"/>
    <col min="9494" max="9494" customWidth="1" width="9.140625"/>
    <col min="9495" max="9495" customWidth="1" width="9.140625"/>
    <col min="9496" max="9496" customWidth="1" width="9.140625"/>
    <col min="9497" max="9497" customWidth="1" width="9.140625"/>
    <col min="9498" max="9498" customWidth="1" width="9.140625"/>
    <col min="9499" max="9499" customWidth="1" width="9.140625"/>
    <col min="9500" max="9500" customWidth="1" width="9.140625"/>
    <col min="9501" max="9501" customWidth="1" width="9.140625"/>
    <col min="9502" max="9502" customWidth="1" width="9.140625"/>
    <col min="9503" max="9503" customWidth="1" width="9.140625"/>
    <col min="9504" max="9504" customWidth="1" width="9.140625"/>
    <col min="9505" max="9505" customWidth="1" width="9.140625"/>
    <col min="9506" max="9506" customWidth="1" width="9.140625"/>
    <col min="9507" max="9507" customWidth="1" width="9.140625"/>
    <col min="9508" max="9508" customWidth="1" width="9.140625"/>
    <col min="9509" max="9509" customWidth="1" width="9.140625"/>
    <col min="9510" max="9510" customWidth="1" width="9.140625"/>
    <col min="9511" max="9511" customWidth="1" width="9.140625"/>
    <col min="9512" max="9512" customWidth="1" width="9.140625"/>
    <col min="9513" max="9513" customWidth="1" width="9.140625"/>
    <col min="9514" max="9514" customWidth="1" width="9.140625"/>
    <col min="9515" max="9515" customWidth="1" width="9.140625"/>
    <col min="9516" max="9516" customWidth="1" width="9.140625"/>
    <col min="9517" max="9517" customWidth="1" width="9.140625"/>
    <col min="9518" max="9518" customWidth="1" width="9.140625"/>
    <col min="9519" max="9519" customWidth="1" width="9.140625"/>
    <col min="9520" max="9520" customWidth="1" width="9.140625"/>
    <col min="9521" max="9521" customWidth="1" width="9.140625"/>
    <col min="9522" max="9522" customWidth="1" width="9.140625"/>
    <col min="9523" max="9523" customWidth="1" width="9.140625"/>
    <col min="9524" max="9524" customWidth="1" width="9.140625"/>
    <col min="9525" max="9525" customWidth="1" width="9.140625"/>
    <col min="9526" max="9526" customWidth="1" width="9.140625"/>
    <col min="9527" max="9527" customWidth="1" width="9.140625"/>
    <col min="9528" max="9528" customWidth="1" width="9.140625"/>
    <col min="9529" max="9529" customWidth="1" width="9.140625"/>
    <col min="9530" max="9530" customWidth="1" width="9.140625"/>
    <col min="9531" max="9531" customWidth="1" width="9.140625"/>
    <col min="9532" max="9532" customWidth="1" width="9.140625"/>
    <col min="9533" max="9533" customWidth="1" width="9.140625"/>
    <col min="9534" max="9534" customWidth="1" width="9.140625"/>
    <col min="9535" max="9535" customWidth="1" width="9.140625"/>
    <col min="9536" max="9536" customWidth="1" width="9.140625"/>
    <col min="9537" max="9537" customWidth="1" width="9.140625"/>
    <col min="9538" max="9538" customWidth="1" width="9.140625"/>
    <col min="9539" max="9539" customWidth="1" width="9.140625"/>
    <col min="9540" max="9540" customWidth="1" width="9.140625"/>
    <col min="9541" max="9541" customWidth="1" width="9.140625"/>
    <col min="9542" max="9542" customWidth="1" width="9.140625"/>
    <col min="9543" max="9543" customWidth="1" width="9.140625"/>
    <col min="9544" max="9544" customWidth="1" width="9.140625"/>
    <col min="9545" max="9545" customWidth="1" width="9.140625"/>
    <col min="9546" max="9546" customWidth="1" width="9.140625"/>
    <col min="9547" max="9547" customWidth="1" width="9.140625"/>
    <col min="9548" max="9548" customWidth="1" width="9.140625"/>
    <col min="9549" max="9549" customWidth="1" width="9.140625"/>
    <col min="9550" max="9550" customWidth="1" width="9.140625"/>
    <col min="9551" max="9551" customWidth="1" width="9.140625"/>
    <col min="9552" max="9552" customWidth="1" width="9.140625"/>
    <col min="9553" max="9553" customWidth="1" width="9.140625"/>
    <col min="9554" max="9554" customWidth="1" width="9.140625"/>
    <col min="9555" max="9555" customWidth="1" width="9.140625"/>
    <col min="9556" max="9556" customWidth="1" width="9.140625"/>
    <col min="9557" max="9557" customWidth="1" width="9.140625"/>
    <col min="9558" max="9558" customWidth="1" width="9.140625"/>
    <col min="9559" max="9559" customWidth="1" width="9.140625"/>
    <col min="9560" max="9560" customWidth="1" width="9.140625"/>
    <col min="9561" max="9561" customWidth="1" width="9.140625"/>
    <col min="9562" max="9562" customWidth="1" width="9.140625"/>
    <col min="9563" max="9563" customWidth="1" width="9.140625"/>
    <col min="9564" max="9564" customWidth="1" width="9.140625"/>
    <col min="9565" max="9565" customWidth="1" width="9.140625"/>
    <col min="9566" max="9566" customWidth="1" width="9.140625"/>
    <col min="9567" max="9567" customWidth="1" width="9.140625"/>
    <col min="9568" max="9568" customWidth="1" width="9.140625"/>
    <col min="9569" max="9569" customWidth="1" width="9.140625"/>
    <col min="9570" max="9570" customWidth="1" width="9.140625"/>
    <col min="9571" max="9571" customWidth="1" width="9.140625"/>
    <col min="9572" max="9572" customWidth="1" width="9.140625"/>
    <col min="9573" max="9573" customWidth="1" width="9.140625"/>
    <col min="9574" max="9574" customWidth="1" width="9.140625"/>
    <col min="9575" max="9575" customWidth="1" width="9.140625"/>
    <col min="9576" max="9576" customWidth="1" width="9.140625"/>
    <col min="9577" max="9577" customWidth="1" width="9.140625"/>
    <col min="9578" max="9578" customWidth="1" width="9.140625"/>
    <col min="9579" max="9579" customWidth="1" width="9.140625"/>
    <col min="9580" max="9580" customWidth="1" width="9.140625"/>
    <col min="9581" max="9581" customWidth="1" width="9.140625"/>
    <col min="9582" max="9582" customWidth="1" width="9.140625"/>
    <col min="9583" max="9583" customWidth="1" width="9.140625"/>
    <col min="9584" max="9584" customWidth="1" width="9.140625"/>
    <col min="9585" max="9585" customWidth="1" width="9.140625"/>
    <col min="9586" max="9586" customWidth="1" width="9.140625"/>
    <col min="9587" max="9587" customWidth="1" width="9.140625"/>
    <col min="9588" max="9588" customWidth="1" width="9.140625"/>
    <col min="9589" max="9589" customWidth="1" width="9.140625"/>
    <col min="9590" max="9590" customWidth="1" width="9.140625"/>
    <col min="9591" max="9591" customWidth="1" width="9.140625"/>
    <col min="9592" max="9592" customWidth="1" width="9.140625"/>
    <col min="9593" max="9593" customWidth="1" width="9.140625"/>
    <col min="9594" max="9594" customWidth="1" width="9.140625"/>
    <col min="9595" max="9595" customWidth="1" width="9.140625"/>
    <col min="9596" max="9596" customWidth="1" width="9.140625"/>
    <col min="9597" max="9597" customWidth="1" width="9.140625"/>
    <col min="9598" max="9598" customWidth="1" width="9.140625"/>
    <col min="9599" max="9599" customWidth="1" width="9.140625"/>
    <col min="9600" max="9600" customWidth="1" width="9.140625"/>
    <col min="9601" max="9601" customWidth="1" width="9.140625"/>
    <col min="9602" max="9602" customWidth="1" width="9.140625"/>
    <col min="9603" max="9603" customWidth="1" width="9.140625"/>
    <col min="9604" max="9604" customWidth="1" width="9.140625"/>
    <col min="9605" max="9605" customWidth="1" width="9.140625"/>
    <col min="9606" max="9606" customWidth="1" width="9.140625"/>
    <col min="9607" max="9607" customWidth="1" width="9.140625"/>
    <col min="9608" max="9608" customWidth="1" width="9.140625"/>
    <col min="9609" max="9609" customWidth="1" width="9.140625"/>
    <col min="9610" max="9610" customWidth="1" width="9.140625"/>
    <col min="9611" max="9611" customWidth="1" width="9.140625"/>
    <col min="9612" max="9612" customWidth="1" width="9.140625"/>
    <col min="9613" max="9613" customWidth="1" width="9.140625"/>
    <col min="9614" max="9614" customWidth="1" width="9.140625"/>
    <col min="9615" max="9615" customWidth="1" width="9.140625"/>
    <col min="9616" max="9616" customWidth="1" width="9.140625"/>
    <col min="9617" max="9617" customWidth="1" width="9.140625"/>
    <col min="9618" max="9618" customWidth="1" width="9.140625"/>
    <col min="9619" max="9619" customWidth="1" width="9.140625"/>
    <col min="9620" max="9620" customWidth="1" width="9.140625"/>
    <col min="9621" max="9621" customWidth="1" width="9.140625"/>
    <col min="9622" max="9622" customWidth="1" width="9.140625"/>
    <col min="9623" max="9623" customWidth="1" width="9.140625"/>
    <col min="9624" max="9624" customWidth="1" width="9.140625"/>
    <col min="9625" max="9625" customWidth="1" width="9.140625"/>
    <col min="9626" max="9626" customWidth="1" width="9.140625"/>
    <col min="9627" max="9627" customWidth="1" width="9.140625"/>
    <col min="9628" max="9628" customWidth="1" width="9.140625"/>
    <col min="9629" max="9629" customWidth="1" width="9.140625"/>
    <col min="9630" max="9630" customWidth="1" width="9.140625"/>
    <col min="9631" max="9631" customWidth="1" width="9.140625"/>
    <col min="9632" max="9632" customWidth="1" width="9.140625"/>
    <col min="9633" max="9633" customWidth="1" width="9.140625"/>
    <col min="9634" max="9634" customWidth="1" width="9.140625"/>
    <col min="9635" max="9635" customWidth="1" width="9.140625"/>
    <col min="9636" max="9636" customWidth="1" width="9.140625"/>
    <col min="9637" max="9637" customWidth="1" width="9.140625"/>
    <col min="9638" max="9638" customWidth="1" width="9.140625"/>
    <col min="9639" max="9639" customWidth="1" width="9.140625"/>
    <col min="9640" max="9640" customWidth="1" width="9.140625"/>
    <col min="9641" max="9641" customWidth="1" width="9.140625"/>
    <col min="9642" max="9642" customWidth="1" width="9.140625"/>
    <col min="9643" max="9643" customWidth="1" width="9.140625"/>
    <col min="9644" max="9644" customWidth="1" width="9.140625"/>
    <col min="9645" max="9645" customWidth="1" width="9.140625"/>
    <col min="9646" max="9646" customWidth="1" width="9.140625"/>
    <col min="9647" max="9647" customWidth="1" width="9.140625"/>
    <col min="9648" max="9648" customWidth="1" width="9.140625"/>
    <col min="9649" max="9649" customWidth="1" width="9.140625"/>
    <col min="9650" max="9650" customWidth="1" width="9.140625"/>
    <col min="9651" max="9651" customWidth="1" width="9.140625"/>
    <col min="9652" max="9652" customWidth="1" width="9.140625"/>
    <col min="9653" max="9653" customWidth="1" width="9.140625"/>
    <col min="9654" max="9654" customWidth="1" width="9.140625"/>
    <col min="9655" max="9655" customWidth="1" width="9.140625"/>
    <col min="9656" max="9656" customWidth="1" width="9.140625"/>
    <col min="9657" max="9657" customWidth="1" width="9.140625"/>
    <col min="9658" max="9658" customWidth="1" width="9.140625"/>
    <col min="9659" max="9659" customWidth="1" width="9.140625"/>
    <col min="9660" max="9660" customWidth="1" width="9.140625"/>
    <col min="9661" max="9661" customWidth="1" width="9.140625"/>
    <col min="9662" max="9662" customWidth="1" width="9.140625"/>
    <col min="9663" max="9663" customWidth="1" width="9.140625"/>
    <col min="9664" max="9664" customWidth="1" width="9.140625"/>
    <col min="9665" max="9665" customWidth="1" width="9.140625"/>
    <col min="9666" max="9666" customWidth="1" width="9.140625"/>
    <col min="9667" max="9667" customWidth="1" width="9.140625"/>
    <col min="9668" max="9668" customWidth="1" width="9.140625"/>
    <col min="9669" max="9669" customWidth="1" width="9.140625"/>
    <col min="9670" max="9670" customWidth="1" width="9.140625"/>
    <col min="9671" max="9671" customWidth="1" width="9.140625"/>
    <col min="9672" max="9672" customWidth="1" width="9.140625"/>
    <col min="9673" max="9673" customWidth="1" width="9.140625"/>
    <col min="9674" max="9674" customWidth="1" width="9.140625"/>
    <col min="9675" max="9675" customWidth="1" width="9.140625"/>
    <col min="9676" max="9676" customWidth="1" width="9.140625"/>
    <col min="9677" max="9677" customWidth="1" width="9.140625"/>
    <col min="9678" max="9678" customWidth="1" width="9.140625"/>
    <col min="9679" max="9679" customWidth="1" width="9.140625"/>
    <col min="9680" max="9680" customWidth="1" width="9.140625"/>
    <col min="9681" max="9681" customWidth="1" width="9.140625"/>
    <col min="9682" max="9682" customWidth="1" width="9.140625"/>
    <col min="9683" max="9683" customWidth="1" width="9.140625"/>
    <col min="9684" max="9684" customWidth="1" width="9.140625"/>
    <col min="9685" max="9685" customWidth="1" width="9.140625"/>
    <col min="9686" max="9686" customWidth="1" width="9.140625"/>
    <col min="9687" max="9687" customWidth="1" width="9.140625"/>
    <col min="9688" max="9688" customWidth="1" width="9.140625"/>
    <col min="9689" max="9689" customWidth="1" width="9.140625"/>
    <col min="9690" max="9690" customWidth="1" width="9.140625"/>
    <col min="9691" max="9691" customWidth="1" width="9.140625"/>
    <col min="9692" max="9692" customWidth="1" width="9.140625"/>
    <col min="9693" max="9693" customWidth="1" width="9.140625"/>
    <col min="9694" max="9694" customWidth="1" width="9.140625"/>
    <col min="9695" max="9695" customWidth="1" width="9.140625"/>
    <col min="9696" max="9696" customWidth="1" width="9.140625"/>
    <col min="9697" max="9697" customWidth="1" width="9.140625"/>
    <col min="9698" max="9698" customWidth="1" width="9.140625"/>
    <col min="9699" max="9699" customWidth="1" width="9.140625"/>
    <col min="9700" max="9700" customWidth="1" width="9.140625"/>
    <col min="9701" max="9701" customWidth="1" width="9.140625"/>
    <col min="9702" max="9702" customWidth="1" width="9.140625"/>
    <col min="9703" max="9703" customWidth="1" width="9.140625"/>
    <col min="9704" max="9704" customWidth="1" width="9.140625"/>
    <col min="9705" max="9705" customWidth="1" width="9.140625"/>
    <col min="9706" max="9706" customWidth="1" width="9.140625"/>
    <col min="9707" max="9707" customWidth="1" width="9.140625"/>
    <col min="9708" max="9708" customWidth="1" width="9.140625"/>
    <col min="9709" max="9709" customWidth="1" width="9.140625"/>
    <col min="9710" max="9710" customWidth="1" width="9.140625"/>
    <col min="9711" max="9711" customWidth="1" width="9.140625"/>
    <col min="9712" max="9712" customWidth="1" width="9.140625"/>
    <col min="9713" max="9713" customWidth="1" width="9.140625"/>
    <col min="9714" max="9714" customWidth="1" width="9.140625"/>
    <col min="9715" max="9715" customWidth="1" width="9.140625"/>
    <col min="9716" max="9716" customWidth="1" width="9.140625"/>
    <col min="9717" max="9717" customWidth="1" width="9.140625"/>
    <col min="9718" max="9718" customWidth="1" width="9.140625"/>
    <col min="9719" max="9719" customWidth="1" width="9.140625"/>
    <col min="9720" max="9720" customWidth="1" width="9.140625"/>
    <col min="9721" max="9721" customWidth="1" width="9.140625"/>
    <col min="9722" max="9722" customWidth="1" width="9.140625"/>
    <col min="9723" max="9723" customWidth="1" width="9.140625"/>
    <col min="9724" max="9724" customWidth="1" width="9.140625"/>
    <col min="9725" max="9725" customWidth="1" width="9.140625"/>
    <col min="9726" max="9726" customWidth="1" width="9.140625"/>
    <col min="9727" max="9727" customWidth="1" width="9.140625"/>
    <col min="9728" max="9728" customWidth="1" width="9.140625"/>
    <col min="9729" max="9729" customWidth="1" width="9.140625"/>
    <col min="9730" max="9730" customWidth="1" width="9.140625"/>
    <col min="9731" max="9731" customWidth="1" width="9.140625"/>
    <col min="9732" max="9732" customWidth="1" width="9.140625"/>
    <col min="9733" max="9733" customWidth="1" width="9.140625"/>
    <col min="9734" max="9734" customWidth="1" width="9.140625"/>
    <col min="9735" max="9735" customWidth="1" width="9.140625"/>
    <col min="9736" max="9736" customWidth="1" width="9.140625"/>
    <col min="9737" max="9737" customWidth="1" width="9.140625"/>
    <col min="9738" max="9738" customWidth="1" width="9.140625"/>
    <col min="9739" max="9739" customWidth="1" width="9.140625"/>
    <col min="9740" max="9740" customWidth="1" width="9.140625"/>
    <col min="9741" max="9741" customWidth="1" width="9.140625"/>
    <col min="9742" max="9742" customWidth="1" width="9.140625"/>
    <col min="9743" max="9743" customWidth="1" width="9.140625"/>
    <col min="9744" max="9744" customWidth="1" width="9.140625"/>
    <col min="9745" max="9745" customWidth="1" width="9.140625"/>
    <col min="9746" max="9746" customWidth="1" width="9.140625"/>
    <col min="9747" max="9747" customWidth="1" width="9.140625"/>
    <col min="9748" max="9748" customWidth="1" width="9.140625"/>
    <col min="9749" max="9749" customWidth="1" width="9.140625"/>
    <col min="9750" max="9750" customWidth="1" width="9.140625"/>
    <col min="9751" max="9751" customWidth="1" width="9.140625"/>
    <col min="9752" max="9752" customWidth="1" width="9.140625"/>
    <col min="9753" max="9753" customWidth="1" width="9.140625"/>
    <col min="9754" max="9754" customWidth="1" width="9.140625"/>
    <col min="9755" max="9755" customWidth="1" width="9.140625"/>
    <col min="9756" max="9756" customWidth="1" width="9.140625"/>
    <col min="9757" max="9757" customWidth="1" width="9.140625"/>
    <col min="9758" max="9758" customWidth="1" width="9.140625"/>
    <col min="9759" max="9759" customWidth="1" width="9.140625"/>
    <col min="9760" max="9760" customWidth="1" width="9.140625"/>
    <col min="9761" max="9761" customWidth="1" width="9.140625"/>
    <col min="9762" max="9762" customWidth="1" width="9.140625"/>
    <col min="9763" max="9763" customWidth="1" width="9.140625"/>
    <col min="9764" max="9764" customWidth="1" width="9.140625"/>
    <col min="9765" max="9765" customWidth="1" width="9.140625"/>
    <col min="9766" max="9766" customWidth="1" width="9.140625"/>
    <col min="9767" max="9767" customWidth="1" width="9.140625"/>
    <col min="9768" max="9768" customWidth="1" width="9.140625"/>
    <col min="9769" max="9769" customWidth="1" width="9.140625"/>
    <col min="9770" max="9770" customWidth="1" width="9.140625"/>
    <col min="9771" max="9771" customWidth="1" width="9.140625"/>
    <col min="9772" max="9772" customWidth="1" width="9.140625"/>
    <col min="9773" max="9773" customWidth="1" width="9.140625"/>
    <col min="9774" max="9774" customWidth="1" width="9.140625"/>
    <col min="9775" max="9775" customWidth="1" width="9.140625"/>
    <col min="9776" max="9776" customWidth="1" width="9.140625"/>
    <col min="9777" max="9777" customWidth="1" width="9.140625"/>
    <col min="9778" max="9778" customWidth="1" width="9.140625"/>
    <col min="9779" max="9779" customWidth="1" width="9.140625"/>
    <col min="9780" max="9780" customWidth="1" width="9.140625"/>
    <col min="9781" max="9781" customWidth="1" width="9.140625"/>
    <col min="9782" max="9782" customWidth="1" width="9.140625"/>
    <col min="9783" max="9783" customWidth="1" width="9.140625"/>
    <col min="9784" max="9784" customWidth="1" width="9.140625"/>
    <col min="9785" max="9785" customWidth="1" width="9.140625"/>
    <col min="9786" max="9786" customWidth="1" width="9.140625"/>
    <col min="9787" max="9787" customWidth="1" width="9.140625"/>
    <col min="9788" max="9788" customWidth="1" width="9.140625"/>
    <col min="9789" max="9789" customWidth="1" width="9.140625"/>
    <col min="9790" max="9790" customWidth="1" width="9.140625"/>
    <col min="9791" max="9791" customWidth="1" width="9.140625"/>
    <col min="9792" max="9792" customWidth="1" width="9.140625"/>
    <col min="9793" max="9793" customWidth="1" width="9.140625"/>
    <col min="9794" max="9794" customWidth="1" width="9.140625"/>
    <col min="9795" max="9795" customWidth="1" width="9.140625"/>
    <col min="9796" max="9796" customWidth="1" width="9.140625"/>
    <col min="9797" max="9797" customWidth="1" width="9.140625"/>
    <col min="9798" max="9798" customWidth="1" width="9.140625"/>
    <col min="9799" max="9799" customWidth="1" width="9.140625"/>
    <col min="9800" max="9800" customWidth="1" width="9.140625"/>
    <col min="9801" max="9801" customWidth="1" width="9.140625"/>
    <col min="9802" max="9802" customWidth="1" width="9.140625"/>
    <col min="9803" max="9803" customWidth="1" width="9.140625"/>
    <col min="9804" max="9804" customWidth="1" width="9.140625"/>
    <col min="9805" max="9805" customWidth="1" width="9.140625"/>
    <col min="9806" max="9806" customWidth="1" width="9.140625"/>
    <col min="9807" max="9807" customWidth="1" width="9.140625"/>
    <col min="9808" max="9808" customWidth="1" width="9.140625"/>
    <col min="9809" max="9809" customWidth="1" width="9.140625"/>
    <col min="9810" max="9810" customWidth="1" width="9.140625"/>
    <col min="9811" max="9811" customWidth="1" width="9.140625"/>
    <col min="9812" max="9812" customWidth="1" width="9.140625"/>
    <col min="9813" max="9813" customWidth="1" width="9.140625"/>
    <col min="9814" max="9814" customWidth="1" width="9.140625"/>
    <col min="9815" max="9815" customWidth="1" width="9.140625"/>
    <col min="9816" max="9816" customWidth="1" width="9.140625"/>
    <col min="9817" max="9817" customWidth="1" width="9.140625"/>
    <col min="9818" max="9818" customWidth="1" width="9.140625"/>
    <col min="9819" max="9819" customWidth="1" width="9.140625"/>
    <col min="9820" max="9820" customWidth="1" width="9.140625"/>
    <col min="9821" max="9821" customWidth="1" width="9.140625"/>
    <col min="9822" max="9822" customWidth="1" width="9.140625"/>
    <col min="9823" max="9823" customWidth="1" width="9.140625"/>
    <col min="9824" max="9824" customWidth="1" width="9.140625"/>
    <col min="9825" max="9825" customWidth="1" width="9.140625"/>
    <col min="9826" max="9826" customWidth="1" width="9.140625"/>
    <col min="9827" max="9827" customWidth="1" width="9.140625"/>
    <col min="9828" max="9828" customWidth="1" width="9.140625"/>
    <col min="9829" max="9829" customWidth="1" width="9.140625"/>
    <col min="9830" max="9830" customWidth="1" width="9.140625"/>
    <col min="9831" max="9831" customWidth="1" width="9.140625"/>
    <col min="9832" max="9832" customWidth="1" width="9.140625"/>
    <col min="9833" max="9833" customWidth="1" width="9.140625"/>
    <col min="9834" max="9834" customWidth="1" width="9.140625"/>
    <col min="9835" max="9835" customWidth="1" width="9.140625"/>
    <col min="9836" max="9836" customWidth="1" width="9.140625"/>
    <col min="9837" max="9837" customWidth="1" width="9.140625"/>
    <col min="9838" max="9838" customWidth="1" width="9.140625"/>
    <col min="9839" max="9839" customWidth="1" width="9.140625"/>
    <col min="9840" max="9840" customWidth="1" width="9.140625"/>
    <col min="9841" max="9841" customWidth="1" width="9.140625"/>
    <col min="9842" max="9842" customWidth="1" width="9.140625"/>
    <col min="9843" max="9843" customWidth="1" width="9.140625"/>
    <col min="9844" max="9844" customWidth="1" width="9.140625"/>
    <col min="9845" max="9845" customWidth="1" width="9.140625"/>
    <col min="9846" max="9846" customWidth="1" width="9.140625"/>
    <col min="9847" max="9847" customWidth="1" width="9.140625"/>
    <col min="9848" max="9848" customWidth="1" width="9.140625"/>
    <col min="9849" max="9849" customWidth="1" width="9.140625"/>
    <col min="9850" max="9850" customWidth="1" width="9.140625"/>
    <col min="9851" max="9851" customWidth="1" width="9.140625"/>
    <col min="9852" max="9852" customWidth="1" width="9.140625"/>
    <col min="9853" max="9853" customWidth="1" width="9.140625"/>
    <col min="9854" max="9854" customWidth="1" width="9.140625"/>
    <col min="9855" max="9855" customWidth="1" width="9.140625"/>
    <col min="9856" max="9856" customWidth="1" width="9.140625"/>
    <col min="9857" max="9857" customWidth="1" width="9.140625"/>
    <col min="9858" max="9858" customWidth="1" width="9.140625"/>
    <col min="9859" max="9859" customWidth="1" width="9.140625"/>
    <col min="9860" max="9860" customWidth="1" width="9.140625"/>
    <col min="9861" max="9861" customWidth="1" width="9.140625"/>
    <col min="9862" max="9862" customWidth="1" width="9.140625"/>
    <col min="9863" max="9863" customWidth="1" width="9.140625"/>
    <col min="9864" max="9864" customWidth="1" width="9.140625"/>
    <col min="9865" max="9865" customWidth="1" width="9.140625"/>
    <col min="9866" max="9866" customWidth="1" width="9.140625"/>
    <col min="9867" max="9867" customWidth="1" width="9.140625"/>
    <col min="9868" max="9868" customWidth="1" width="9.140625"/>
    <col min="9869" max="9869" customWidth="1" width="9.140625"/>
    <col min="9870" max="9870" customWidth="1" width="9.140625"/>
    <col min="9871" max="9871" customWidth="1" width="9.140625"/>
    <col min="9872" max="9872" customWidth="1" width="9.140625"/>
    <col min="9873" max="9873" customWidth="1" width="9.140625"/>
    <col min="9874" max="9874" customWidth="1" width="9.140625"/>
    <col min="9875" max="9875" customWidth="1" width="9.140625"/>
    <col min="9876" max="9876" customWidth="1" width="9.140625"/>
    <col min="9877" max="9877" customWidth="1" width="9.140625"/>
    <col min="9878" max="9878" customWidth="1" width="9.140625"/>
    <col min="9879" max="9879" customWidth="1" width="9.140625"/>
    <col min="9880" max="9880" customWidth="1" width="9.140625"/>
    <col min="9881" max="9881" customWidth="1" width="9.140625"/>
    <col min="9882" max="9882" customWidth="1" width="9.140625"/>
    <col min="9883" max="9883" customWidth="1" width="9.140625"/>
    <col min="9884" max="9884" customWidth="1" width="9.140625"/>
    <col min="9885" max="9885" customWidth="1" width="9.140625"/>
    <col min="9886" max="9886" customWidth="1" width="9.140625"/>
    <col min="9887" max="9887" customWidth="1" width="9.140625"/>
    <col min="9888" max="9888" customWidth="1" width="9.140625"/>
    <col min="9889" max="9889" customWidth="1" width="9.140625"/>
    <col min="9890" max="9890" customWidth="1" width="9.140625"/>
    <col min="9891" max="9891" customWidth="1" width="9.140625"/>
    <col min="9892" max="9892" customWidth="1" width="9.140625"/>
    <col min="9893" max="9893" customWidth="1" width="9.140625"/>
    <col min="9894" max="9894" customWidth="1" width="9.140625"/>
    <col min="9895" max="9895" customWidth="1" width="9.140625"/>
    <col min="9896" max="9896" customWidth="1" width="9.140625"/>
    <col min="9897" max="9897" customWidth="1" width="9.140625"/>
    <col min="9898" max="9898" customWidth="1" width="9.140625"/>
    <col min="9899" max="9899" customWidth="1" width="9.140625"/>
    <col min="9900" max="9900" customWidth="1" width="9.140625"/>
    <col min="9901" max="9901" customWidth="1" width="9.140625"/>
    <col min="9902" max="9902" customWidth="1" width="9.140625"/>
    <col min="9903" max="9903" customWidth="1" width="9.140625"/>
    <col min="9904" max="9904" customWidth="1" width="9.140625"/>
    <col min="9905" max="9905" customWidth="1" width="9.140625"/>
    <col min="9906" max="9906" customWidth="1" width="9.140625"/>
    <col min="9907" max="9907" customWidth="1" width="9.140625"/>
    <col min="9908" max="9908" customWidth="1" width="9.140625"/>
    <col min="9909" max="9909" customWidth="1" width="9.140625"/>
    <col min="9910" max="9910" customWidth="1" width="9.140625"/>
    <col min="9911" max="9911" customWidth="1" width="9.140625"/>
    <col min="9912" max="9912" customWidth="1" width="9.140625"/>
    <col min="9913" max="9913" customWidth="1" width="9.140625"/>
    <col min="9914" max="9914" customWidth="1" width="9.140625"/>
    <col min="9915" max="9915" customWidth="1" width="9.140625"/>
    <col min="9916" max="9916" customWidth="1" width="9.140625"/>
    <col min="9917" max="9917" customWidth="1" width="9.140625"/>
    <col min="9918" max="9918" customWidth="1" width="9.140625"/>
    <col min="9919" max="9919" customWidth="1" width="9.140625"/>
    <col min="9920" max="9920" customWidth="1" width="9.140625"/>
    <col min="9921" max="9921" customWidth="1" width="9.140625"/>
    <col min="9922" max="9922" customWidth="1" width="9.140625"/>
    <col min="9923" max="9923" customWidth="1" width="9.140625"/>
    <col min="9924" max="9924" customWidth="1" width="9.140625"/>
    <col min="9925" max="9925" customWidth="1" width="9.140625"/>
    <col min="9926" max="9926" customWidth="1" width="9.140625"/>
    <col min="9927" max="9927" customWidth="1" width="9.140625"/>
    <col min="9928" max="9928" customWidth="1" width="9.140625"/>
    <col min="9929" max="9929" customWidth="1" width="9.140625"/>
    <col min="9930" max="9930" customWidth="1" width="9.140625"/>
    <col min="9931" max="9931" customWidth="1" width="9.140625"/>
    <col min="9932" max="9932" customWidth="1" width="9.140625"/>
    <col min="9933" max="9933" customWidth="1" width="9.140625"/>
    <col min="9934" max="9934" customWidth="1" width="9.140625"/>
    <col min="9935" max="9935" customWidth="1" width="9.140625"/>
    <col min="9936" max="9936" customWidth="1" width="9.140625"/>
    <col min="9937" max="9937" customWidth="1" width="9.140625"/>
    <col min="9938" max="9938" customWidth="1" width="9.140625"/>
    <col min="9939" max="9939" customWidth="1" width="9.140625"/>
    <col min="9940" max="9940" customWidth="1" width="9.140625"/>
    <col min="9941" max="9941" customWidth="1" width="9.140625"/>
    <col min="9942" max="9942" customWidth="1" width="9.140625"/>
    <col min="9943" max="9943" customWidth="1" width="9.140625"/>
    <col min="9944" max="9944" customWidth="1" width="9.140625"/>
    <col min="9945" max="9945" customWidth="1" width="9.140625"/>
    <col min="9946" max="9946" customWidth="1" width="9.140625"/>
    <col min="9947" max="9947" customWidth="1" width="9.140625"/>
    <col min="9948" max="9948" customWidth="1" width="9.140625"/>
    <col min="9949" max="9949" customWidth="1" width="9.140625"/>
    <col min="9950" max="9950" customWidth="1" width="9.140625"/>
    <col min="9951" max="9951" customWidth="1" width="9.140625"/>
    <col min="9952" max="9952" customWidth="1" width="9.140625"/>
    <col min="9953" max="9953" customWidth="1" width="9.140625"/>
    <col min="9954" max="9954" customWidth="1" width="9.140625"/>
    <col min="9955" max="9955" customWidth="1" width="9.140625"/>
    <col min="9956" max="9956" customWidth="1" width="9.140625"/>
    <col min="9957" max="9957" customWidth="1" width="9.140625"/>
    <col min="9958" max="9958" customWidth="1" width="9.140625"/>
    <col min="9959" max="9959" customWidth="1" width="9.140625"/>
    <col min="9960" max="9960" customWidth="1" width="9.140625"/>
    <col min="9961" max="9961" customWidth="1" width="9.140625"/>
    <col min="9962" max="9962" customWidth="1" width="9.140625"/>
    <col min="9963" max="9963" customWidth="1" width="9.140625"/>
    <col min="9964" max="9964" customWidth="1" width="9.140625"/>
    <col min="9965" max="9965" customWidth="1" width="9.140625"/>
    <col min="9966" max="9966" customWidth="1" width="9.140625"/>
    <col min="9967" max="9967" customWidth="1" width="9.140625"/>
    <col min="9968" max="9968" customWidth="1" width="9.140625"/>
    <col min="9969" max="9969" customWidth="1" width="9.140625"/>
    <col min="9970" max="9970" customWidth="1" width="9.140625"/>
    <col min="9971" max="9971" customWidth="1" width="9.140625"/>
    <col min="9972" max="9972" customWidth="1" width="9.140625"/>
    <col min="9973" max="9973" customWidth="1" width="9.140625"/>
    <col min="9974" max="9974" customWidth="1" width="9.140625"/>
    <col min="9975" max="9975" customWidth="1" width="9.140625"/>
    <col min="9976" max="9976" customWidth="1" width="9.140625"/>
    <col min="9977" max="9977" customWidth="1" width="9.140625"/>
    <col min="9978" max="9978" customWidth="1" width="9.140625"/>
    <col min="9979" max="9979" customWidth="1" width="9.140625"/>
    <col min="9980" max="9980" customWidth="1" width="9.140625"/>
    <col min="9981" max="9981" customWidth="1" width="9.140625"/>
    <col min="9982" max="9982" customWidth="1" width="9.140625"/>
    <col min="9983" max="9983" customWidth="1" width="9.140625"/>
    <col min="9984" max="9984" customWidth="1" width="9.140625"/>
    <col min="9985" max="9985" customWidth="1" width="9.140625"/>
    <col min="9986" max="9986" customWidth="1" width="9.140625"/>
    <col min="9987" max="9987" customWidth="1" width="9.140625"/>
    <col min="9988" max="9988" customWidth="1" width="9.140625"/>
    <col min="9989" max="9989" customWidth="1" width="9.140625"/>
    <col min="9990" max="9990" customWidth="1" width="9.140625"/>
    <col min="9991" max="9991" customWidth="1" width="9.140625"/>
    <col min="9992" max="9992" customWidth="1" width="9.140625"/>
    <col min="9993" max="9993" customWidth="1" width="9.140625"/>
    <col min="9994" max="9994" customWidth="1" width="9.140625"/>
    <col min="9995" max="9995" customWidth="1" width="9.140625"/>
    <col min="9996" max="9996" customWidth="1" width="9.140625"/>
    <col min="9997" max="9997" customWidth="1" width="9.140625"/>
    <col min="9998" max="9998" customWidth="1" width="9.140625"/>
    <col min="9999" max="9999" customWidth="1" width="9.140625"/>
    <col min="10000" max="10000" customWidth="1" width="9.140625"/>
    <col min="10001" max="10001" customWidth="1" width="9.140625"/>
    <col min="10002" max="10002" customWidth="1" width="9.140625"/>
    <col min="10003" max="10003" customWidth="1" width="9.140625"/>
    <col min="10004" max="10004" customWidth="1" width="9.140625"/>
    <col min="10005" max="10005" customWidth="1" width="9.140625"/>
    <col min="10006" max="10006" customWidth="1" width="9.140625"/>
    <col min="10007" max="10007" customWidth="1" width="9.140625"/>
    <col min="10008" max="10008" customWidth="1" width="9.140625"/>
    <col min="10009" max="10009" customWidth="1" width="9.140625"/>
    <col min="10010" max="10010" customWidth="1" width="9.140625"/>
    <col min="10011" max="10011" customWidth="1" width="9.140625"/>
    <col min="10012" max="10012" customWidth="1" width="9.140625"/>
    <col min="10013" max="10013" customWidth="1" width="9.140625"/>
    <col min="10014" max="10014" customWidth="1" width="9.140625"/>
    <col min="10015" max="10015" customWidth="1" width="9.140625"/>
    <col min="10016" max="10016" customWidth="1" width="9.140625"/>
    <col min="10017" max="10017" customWidth="1" width="9.140625"/>
    <col min="10018" max="10018" customWidth="1" width="9.140625"/>
    <col min="10019" max="10019" customWidth="1" width="9.140625"/>
    <col min="10020" max="10020" customWidth="1" width="9.140625"/>
    <col min="10021" max="10021" customWidth="1" width="9.140625"/>
    <col min="10022" max="10022" customWidth="1" width="9.140625"/>
    <col min="10023" max="10023" customWidth="1" width="9.140625"/>
    <col min="10024" max="10024" customWidth="1" width="9.140625"/>
    <col min="10025" max="10025" customWidth="1" width="9.140625"/>
    <col min="10026" max="10026" customWidth="1" width="9.140625"/>
    <col min="10027" max="10027" customWidth="1" width="9.140625"/>
    <col min="10028" max="10028" customWidth="1" width="9.140625"/>
    <col min="10029" max="10029" customWidth="1" width="9.140625"/>
    <col min="10030" max="10030" customWidth="1" width="9.140625"/>
    <col min="10031" max="10031" customWidth="1" width="9.140625"/>
    <col min="10032" max="10032" customWidth="1" width="9.140625"/>
    <col min="10033" max="10033" customWidth="1" width="9.140625"/>
    <col min="10034" max="10034" customWidth="1" width="9.140625"/>
    <col min="10035" max="10035" customWidth="1" width="9.140625"/>
    <col min="10036" max="10036" customWidth="1" width="9.140625"/>
    <col min="10037" max="10037" customWidth="1" width="9.140625"/>
    <col min="10038" max="10038" customWidth="1" width="9.140625"/>
    <col min="10039" max="10039" customWidth="1" width="9.140625"/>
    <col min="10040" max="10040" customWidth="1" width="9.140625"/>
    <col min="10041" max="10041" customWidth="1" width="9.140625"/>
    <col min="10042" max="10042" customWidth="1" width="9.140625"/>
    <col min="10043" max="10043" customWidth="1" width="9.140625"/>
    <col min="10044" max="10044" customWidth="1" width="9.140625"/>
    <col min="10045" max="10045" customWidth="1" width="9.140625"/>
    <col min="10046" max="10046" customWidth="1" width="9.140625"/>
    <col min="10047" max="10047" customWidth="1" width="9.140625"/>
    <col min="10048" max="10048" customWidth="1" width="9.140625"/>
    <col min="10049" max="10049" customWidth="1" width="9.140625"/>
    <col min="10050" max="10050" customWidth="1" width="9.140625"/>
    <col min="10051" max="10051" customWidth="1" width="9.140625"/>
    <col min="10052" max="10052" customWidth="1" width="9.140625"/>
    <col min="10053" max="10053" customWidth="1" width="9.140625"/>
    <col min="10054" max="10054" customWidth="1" width="9.140625"/>
    <col min="10055" max="10055" customWidth="1" width="9.140625"/>
    <col min="10056" max="10056" customWidth="1" width="9.140625"/>
    <col min="10057" max="10057" customWidth="1" width="9.140625"/>
    <col min="10058" max="10058" customWidth="1" width="9.140625"/>
    <col min="10059" max="10059" customWidth="1" width="9.140625"/>
    <col min="10060" max="10060" customWidth="1" width="9.140625"/>
    <col min="10061" max="10061" customWidth="1" width="9.140625"/>
    <col min="10062" max="10062" customWidth="1" width="9.140625"/>
    <col min="10063" max="10063" customWidth="1" width="9.140625"/>
    <col min="10064" max="10064" customWidth="1" width="9.140625"/>
    <col min="10065" max="10065" customWidth="1" width="9.140625"/>
    <col min="10066" max="10066" customWidth="1" width="9.140625"/>
    <col min="10067" max="10067" customWidth="1" width="9.140625"/>
    <col min="10068" max="10068" customWidth="1" width="9.140625"/>
    <col min="10069" max="10069" customWidth="1" width="9.140625"/>
    <col min="10070" max="10070" customWidth="1" width="9.140625"/>
    <col min="10071" max="10071" customWidth="1" width="9.140625"/>
    <col min="10072" max="10072" customWidth="1" width="9.140625"/>
    <col min="10073" max="10073" customWidth="1" width="9.140625"/>
    <col min="10074" max="10074" customWidth="1" width="9.140625"/>
    <col min="10075" max="10075" customWidth="1" width="9.140625"/>
    <col min="10076" max="10076" customWidth="1" width="9.140625"/>
    <col min="10077" max="10077" customWidth="1" width="9.140625"/>
    <col min="10078" max="10078" customWidth="1" width="9.140625"/>
    <col min="10079" max="10079" customWidth="1" width="9.140625"/>
    <col min="10080" max="10080" customWidth="1" width="9.140625"/>
    <col min="10081" max="10081" customWidth="1" width="9.140625"/>
    <col min="10082" max="10082" customWidth="1" width="9.140625"/>
    <col min="10083" max="10083" customWidth="1" width="9.140625"/>
    <col min="10084" max="10084" customWidth="1" width="9.140625"/>
    <col min="10085" max="10085" customWidth="1" width="9.140625"/>
    <col min="10086" max="10086" customWidth="1" width="9.140625"/>
    <col min="10087" max="10087" customWidth="1" width="9.140625"/>
    <col min="10088" max="10088" customWidth="1" width="9.140625"/>
    <col min="10089" max="10089" customWidth="1" width="9.140625"/>
    <col min="10090" max="10090" customWidth="1" width="9.140625"/>
    <col min="10091" max="10091" customWidth="1" width="9.140625"/>
    <col min="10092" max="10092" customWidth="1" width="9.140625"/>
    <col min="10093" max="10093" customWidth="1" width="9.140625"/>
    <col min="10094" max="10094" customWidth="1" width="9.140625"/>
    <col min="10095" max="10095" customWidth="1" width="9.140625"/>
    <col min="10096" max="10096" customWidth="1" width="9.140625"/>
    <col min="10097" max="10097" customWidth="1" width="9.140625"/>
    <col min="10098" max="10098" customWidth="1" width="9.140625"/>
    <col min="10099" max="10099" customWidth="1" width="9.140625"/>
    <col min="10100" max="10100" customWidth="1" width="9.140625"/>
    <col min="10101" max="10101" customWidth="1" width="9.140625"/>
    <col min="10102" max="10102" customWidth="1" width="9.140625"/>
    <col min="10103" max="10103" customWidth="1" width="9.140625"/>
    <col min="10104" max="10104" customWidth="1" width="9.140625"/>
    <col min="10105" max="10105" customWidth="1" width="9.140625"/>
    <col min="10106" max="10106" customWidth="1" width="9.140625"/>
    <col min="10107" max="10107" customWidth="1" width="9.140625"/>
    <col min="10108" max="10108" customWidth="1" width="9.140625"/>
    <col min="10109" max="10109" customWidth="1" width="9.140625"/>
    <col min="10110" max="10110" customWidth="1" width="9.140625"/>
    <col min="10111" max="10111" customWidth="1" width="9.140625"/>
    <col min="10112" max="10112" customWidth="1" width="9.140625"/>
    <col min="10113" max="10113" customWidth="1" width="9.140625"/>
    <col min="10114" max="10114" customWidth="1" width="9.140625"/>
    <col min="10115" max="10115" customWidth="1" width="9.140625"/>
    <col min="10116" max="10116" customWidth="1" width="9.140625"/>
    <col min="10117" max="10117" customWidth="1" width="9.140625"/>
    <col min="10118" max="10118" customWidth="1" width="9.140625"/>
    <col min="10119" max="10119" customWidth="1" width="9.140625"/>
    <col min="10120" max="10120" customWidth="1" width="9.140625"/>
    <col min="10121" max="10121" customWidth="1" width="9.140625"/>
    <col min="10122" max="10122" customWidth="1" width="9.140625"/>
    <col min="10123" max="10123" customWidth="1" width="9.140625"/>
    <col min="10124" max="10124" customWidth="1" width="9.140625"/>
    <col min="10125" max="10125" customWidth="1" width="9.140625"/>
    <col min="10126" max="10126" customWidth="1" width="9.140625"/>
    <col min="10127" max="10127" customWidth="1" width="9.140625"/>
    <col min="10128" max="10128" customWidth="1" width="9.140625"/>
    <col min="10129" max="10129" customWidth="1" width="9.140625"/>
    <col min="10130" max="10130" customWidth="1" width="9.140625"/>
    <col min="10131" max="10131" customWidth="1" width="9.140625"/>
    <col min="10132" max="10132" customWidth="1" width="9.140625"/>
    <col min="10133" max="10133" customWidth="1" width="9.140625"/>
    <col min="10134" max="10134" customWidth="1" width="9.140625"/>
    <col min="10135" max="10135" customWidth="1" width="9.140625"/>
    <col min="10136" max="10136" customWidth="1" width="9.140625"/>
    <col min="10137" max="10137" customWidth="1" width="9.140625"/>
    <col min="10138" max="10138" customWidth="1" width="9.140625"/>
    <col min="10139" max="10139" customWidth="1" width="9.140625"/>
    <col min="10140" max="10140" customWidth="1" width="9.140625"/>
    <col min="10141" max="10141" customWidth="1" width="9.140625"/>
    <col min="10142" max="10142" customWidth="1" width="9.140625"/>
    <col min="10143" max="10143" customWidth="1" width="9.140625"/>
    <col min="10144" max="10144" customWidth="1" width="9.140625"/>
    <col min="10145" max="10145" customWidth="1" width="9.140625"/>
    <col min="10146" max="10146" customWidth="1" width="9.140625"/>
    <col min="10147" max="10147" customWidth="1" width="9.140625"/>
    <col min="10148" max="10148" customWidth="1" width="9.140625"/>
    <col min="10149" max="10149" customWidth="1" width="9.140625"/>
    <col min="10150" max="10150" customWidth="1" width="9.140625"/>
    <col min="10151" max="10151" customWidth="1" width="9.140625"/>
    <col min="10152" max="10152" customWidth="1" width="9.140625"/>
    <col min="10153" max="10153" customWidth="1" width="9.140625"/>
    <col min="10154" max="10154" customWidth="1" width="9.140625"/>
    <col min="10155" max="10155" customWidth="1" width="9.140625"/>
    <col min="10156" max="10156" customWidth="1" width="9.140625"/>
    <col min="10157" max="10157" customWidth="1" width="9.140625"/>
    <col min="10158" max="10158" customWidth="1" width="9.140625"/>
    <col min="10159" max="10159" customWidth="1" width="9.140625"/>
    <col min="10160" max="10160" customWidth="1" width="9.140625"/>
    <col min="10161" max="10161" customWidth="1" width="9.140625"/>
    <col min="10162" max="10162" customWidth="1" width="9.140625"/>
    <col min="10163" max="10163" customWidth="1" width="9.140625"/>
    <col min="10164" max="10164" customWidth="1" width="9.140625"/>
    <col min="10165" max="10165" customWidth="1" width="9.140625"/>
    <col min="10166" max="10166" customWidth="1" width="9.140625"/>
    <col min="10167" max="10167" customWidth="1" width="9.140625"/>
    <col min="10168" max="10168" customWidth="1" width="9.140625"/>
    <col min="10169" max="10169" customWidth="1" width="9.140625"/>
    <col min="10170" max="10170" customWidth="1" width="9.140625"/>
    <col min="10171" max="10171" customWidth="1" width="9.140625"/>
    <col min="10172" max="10172" customWidth="1" width="9.140625"/>
    <col min="10173" max="10173" customWidth="1" width="9.140625"/>
    <col min="10174" max="10174" customWidth="1" width="9.140625"/>
    <col min="10175" max="10175" customWidth="1" width="9.140625"/>
    <col min="10176" max="10176" customWidth="1" width="9.140625"/>
    <col min="10177" max="10177" customWidth="1" width="9.140625"/>
    <col min="10178" max="10178" customWidth="1" width="9.140625"/>
    <col min="10179" max="10179" customWidth="1" width="9.140625"/>
    <col min="10180" max="10180" customWidth="1" width="9.140625"/>
    <col min="10181" max="10181" customWidth="1" width="9.140625"/>
    <col min="10182" max="10182" customWidth="1" width="9.140625"/>
    <col min="10183" max="10183" customWidth="1" width="9.140625"/>
    <col min="10184" max="10184" customWidth="1" width="9.140625"/>
    <col min="10185" max="10185" customWidth="1" width="9.140625"/>
    <col min="10186" max="10186" customWidth="1" width="9.140625"/>
    <col min="10187" max="10187" customWidth="1" width="9.140625"/>
    <col min="10188" max="10188" customWidth="1" width="9.140625"/>
    <col min="10189" max="10189" customWidth="1" width="9.140625"/>
    <col min="10190" max="10190" customWidth="1" width="9.140625"/>
    <col min="10191" max="10191" customWidth="1" width="9.140625"/>
    <col min="10192" max="10192" customWidth="1" width="9.140625"/>
    <col min="10193" max="10193" customWidth="1" width="9.140625"/>
    <col min="10194" max="10194" customWidth="1" width="9.140625"/>
    <col min="10195" max="10195" customWidth="1" width="9.140625"/>
    <col min="10196" max="10196" customWidth="1" width="9.140625"/>
    <col min="10197" max="10197" customWidth="1" width="9.140625"/>
    <col min="10198" max="10198" customWidth="1" width="9.140625"/>
    <col min="10199" max="10199" customWidth="1" width="9.140625"/>
    <col min="10200" max="10200" customWidth="1" width="9.140625"/>
    <col min="10201" max="10201" customWidth="1" width="9.140625"/>
    <col min="10202" max="10202" customWidth="1" width="9.140625"/>
    <col min="10203" max="10203" customWidth="1" width="9.140625"/>
    <col min="10204" max="10204" customWidth="1" width="9.140625"/>
    <col min="10205" max="10205" customWidth="1" width="9.140625"/>
    <col min="10206" max="10206" customWidth="1" width="9.140625"/>
    <col min="10207" max="10207" customWidth="1" width="9.140625"/>
    <col min="10208" max="10208" customWidth="1" width="9.140625"/>
    <col min="10209" max="10209" customWidth="1" width="9.140625"/>
    <col min="10210" max="10210" customWidth="1" width="9.140625"/>
    <col min="10211" max="10211" customWidth="1" width="9.140625"/>
    <col min="10212" max="10212" customWidth="1" width="9.140625"/>
    <col min="10213" max="10213" customWidth="1" width="9.140625"/>
    <col min="10214" max="10214" customWidth="1" width="9.140625"/>
    <col min="10215" max="10215" customWidth="1" width="9.140625"/>
    <col min="10216" max="10216" customWidth="1" width="9.140625"/>
    <col min="10217" max="10217" customWidth="1" width="9.140625"/>
    <col min="10218" max="10218" customWidth="1" width="9.140625"/>
    <col min="10219" max="10219" customWidth="1" width="9.140625"/>
    <col min="10220" max="10220" customWidth="1" width="9.140625"/>
    <col min="10221" max="10221" customWidth="1" width="9.140625"/>
    <col min="10222" max="10222" customWidth="1" width="9.140625"/>
    <col min="10223" max="10223" customWidth="1" width="9.140625"/>
    <col min="10224" max="10224" customWidth="1" width="9.140625"/>
    <col min="10225" max="10225" customWidth="1" width="9.140625"/>
    <col min="10226" max="10226" customWidth="1" width="9.140625"/>
    <col min="10227" max="10227" customWidth="1" width="9.140625"/>
    <col min="10228" max="10228" customWidth="1" width="9.140625"/>
    <col min="10229" max="10229" customWidth="1" width="9.140625"/>
    <col min="10230" max="10230" customWidth="1" width="9.140625"/>
    <col min="10231" max="10231" customWidth="1" width="9.140625"/>
    <col min="10232" max="10232" customWidth="1" width="9.140625"/>
    <col min="10233" max="10233" customWidth="1" width="9.140625"/>
    <col min="10234" max="10234" customWidth="1" width="9.140625"/>
    <col min="10235" max="10235" customWidth="1" width="9.140625"/>
    <col min="10236" max="10236" customWidth="1" width="9.140625"/>
    <col min="10237" max="10237" customWidth="1" width="9.140625"/>
    <col min="10238" max="10238" customWidth="1" width="9.140625"/>
    <col min="10239" max="10239" customWidth="1" width="9.140625"/>
    <col min="10240" max="10240" customWidth="1" width="9.140625"/>
    <col min="10241" max="10241" customWidth="1" width="9.140625"/>
    <col min="10242" max="10242" customWidth="1" width="9.140625"/>
    <col min="10243" max="10243" customWidth="1" width="9.140625"/>
    <col min="10244" max="10244" customWidth="1" width="9.140625"/>
    <col min="10245" max="10245" customWidth="1" width="9.140625"/>
    <col min="10246" max="10246" customWidth="1" width="9.140625"/>
    <col min="10247" max="10247" customWidth="1" width="9.140625"/>
    <col min="10248" max="10248" customWidth="1" width="9.140625"/>
    <col min="10249" max="10249" customWidth="1" width="9.140625"/>
    <col min="10250" max="10250" customWidth="1" width="9.140625"/>
    <col min="10251" max="10251" customWidth="1" width="9.140625"/>
    <col min="10252" max="10252" customWidth="1" width="9.140625"/>
    <col min="10253" max="10253" customWidth="1" width="9.140625"/>
    <col min="10254" max="10254" customWidth="1" width="9.140625"/>
    <col min="10255" max="10255" customWidth="1" width="9.140625"/>
    <col min="10256" max="10256" customWidth="1" width="9.140625"/>
    <col min="10257" max="10257" customWidth="1" width="9.140625"/>
    <col min="10258" max="10258" customWidth="1" width="9.140625"/>
    <col min="10259" max="10259" customWidth="1" width="9.140625"/>
    <col min="10260" max="10260" customWidth="1" width="9.140625"/>
    <col min="10261" max="10261" customWidth="1" width="9.140625"/>
    <col min="10262" max="10262" customWidth="1" width="9.140625"/>
    <col min="10263" max="10263" customWidth="1" width="9.140625"/>
    <col min="10264" max="10264" customWidth="1" width="9.140625"/>
    <col min="10265" max="10265" customWidth="1" width="9.140625"/>
    <col min="10266" max="10266" customWidth="1" width="9.140625"/>
    <col min="10267" max="10267" customWidth="1" width="9.140625"/>
    <col min="10268" max="10268" customWidth="1" width="9.140625"/>
    <col min="10269" max="10269" customWidth="1" width="9.140625"/>
    <col min="10270" max="10270" customWidth="1" width="9.140625"/>
    <col min="10271" max="10271" customWidth="1" width="9.140625"/>
    <col min="10272" max="10272" customWidth="1" width="9.140625"/>
    <col min="10273" max="10273" customWidth="1" width="9.140625"/>
    <col min="10274" max="10274" customWidth="1" width="9.140625"/>
    <col min="10275" max="10275" customWidth="1" width="9.140625"/>
    <col min="10276" max="10276" customWidth="1" width="9.140625"/>
    <col min="10277" max="10277" customWidth="1" width="9.140625"/>
    <col min="10278" max="10278" customWidth="1" width="9.140625"/>
    <col min="10279" max="10279" customWidth="1" width="9.140625"/>
    <col min="10280" max="10280" customWidth="1" width="9.140625"/>
    <col min="10281" max="10281" customWidth="1" width="9.140625"/>
    <col min="10282" max="10282" customWidth="1" width="9.140625"/>
    <col min="10283" max="10283" customWidth="1" width="9.140625"/>
    <col min="10284" max="10284" customWidth="1" width="9.140625"/>
    <col min="10285" max="10285" customWidth="1" width="9.140625"/>
    <col min="10286" max="10286" customWidth="1" width="9.140625"/>
    <col min="10287" max="10287" customWidth="1" width="9.140625"/>
    <col min="10288" max="10288" customWidth="1" width="9.140625"/>
    <col min="10289" max="10289" customWidth="1" width="9.140625"/>
    <col min="10290" max="10290" customWidth="1" width="9.140625"/>
    <col min="10291" max="10291" customWidth="1" width="9.140625"/>
    <col min="10292" max="10292" customWidth="1" width="9.140625"/>
    <col min="10293" max="10293" customWidth="1" width="9.140625"/>
    <col min="10294" max="10294" customWidth="1" width="9.140625"/>
    <col min="10295" max="10295" customWidth="1" width="9.140625"/>
    <col min="10296" max="10296" customWidth="1" width="9.140625"/>
    <col min="10297" max="10297" customWidth="1" width="9.140625"/>
    <col min="10298" max="10298" customWidth="1" width="9.140625"/>
    <col min="10299" max="10299" customWidth="1" width="9.140625"/>
    <col min="10300" max="10300" customWidth="1" width="9.140625"/>
    <col min="10301" max="10301" customWidth="1" width="9.140625"/>
    <col min="10302" max="10302" customWidth="1" width="9.140625"/>
    <col min="10303" max="10303" customWidth="1" width="9.140625"/>
    <col min="10304" max="10304" customWidth="1" width="9.140625"/>
    <col min="10305" max="10305" customWidth="1" width="9.140625"/>
    <col min="10306" max="10306" customWidth="1" width="9.140625"/>
    <col min="10307" max="10307" customWidth="1" width="9.140625"/>
    <col min="10308" max="10308" customWidth="1" width="9.140625"/>
    <col min="10309" max="10309" customWidth="1" width="9.140625"/>
    <col min="10310" max="10310" customWidth="1" width="9.140625"/>
    <col min="10311" max="10311" customWidth="1" width="9.140625"/>
    <col min="10312" max="10312" customWidth="1" width="9.140625"/>
    <col min="10313" max="10313" customWidth="1" width="9.140625"/>
    <col min="10314" max="10314" customWidth="1" width="9.140625"/>
    <col min="10315" max="10315" customWidth="1" width="9.140625"/>
    <col min="10316" max="10316" customWidth="1" width="9.140625"/>
    <col min="10317" max="10317" customWidth="1" width="9.140625"/>
    <col min="10318" max="10318" customWidth="1" width="9.140625"/>
    <col min="10319" max="10319" customWidth="1" width="9.140625"/>
    <col min="10320" max="10320" customWidth="1" width="9.140625"/>
    <col min="10321" max="10321" customWidth="1" width="9.140625"/>
    <col min="10322" max="10322" customWidth="1" width="9.140625"/>
    <col min="10323" max="10323" customWidth="1" width="9.140625"/>
    <col min="10324" max="10324" customWidth="1" width="9.140625"/>
    <col min="10325" max="10325" customWidth="1" width="9.140625"/>
    <col min="10326" max="10326" customWidth="1" width="9.140625"/>
    <col min="10327" max="10327" customWidth="1" width="9.140625"/>
    <col min="10328" max="10328" customWidth="1" width="9.140625"/>
    <col min="10329" max="10329" customWidth="1" width="9.140625"/>
    <col min="10330" max="10330" customWidth="1" width="9.140625"/>
    <col min="10331" max="10331" customWidth="1" width="9.140625"/>
    <col min="10332" max="10332" customWidth="1" width="9.140625"/>
    <col min="10333" max="10333" customWidth="1" width="9.140625"/>
    <col min="10334" max="10334" customWidth="1" width="9.140625"/>
    <col min="10335" max="10335" customWidth="1" width="9.140625"/>
    <col min="10336" max="10336" customWidth="1" width="9.140625"/>
    <col min="10337" max="10337" customWidth="1" width="9.140625"/>
    <col min="10338" max="10338" customWidth="1" width="9.140625"/>
    <col min="10339" max="10339" customWidth="1" width="9.140625"/>
    <col min="10340" max="10340" customWidth="1" width="9.140625"/>
    <col min="10341" max="10341" customWidth="1" width="9.140625"/>
    <col min="10342" max="10342" customWidth="1" width="9.140625"/>
    <col min="10343" max="10343" customWidth="1" width="9.140625"/>
    <col min="10344" max="10344" customWidth="1" width="9.140625"/>
    <col min="10345" max="10345" customWidth="1" width="9.140625"/>
    <col min="10346" max="10346" customWidth="1" width="9.140625"/>
    <col min="10347" max="10347" customWidth="1" width="9.140625"/>
    <col min="10348" max="10348" customWidth="1" width="9.140625"/>
    <col min="10349" max="10349" customWidth="1" width="9.140625"/>
    <col min="10350" max="10350" customWidth="1" width="9.140625"/>
    <col min="10351" max="10351" customWidth="1" width="9.140625"/>
    <col min="10352" max="10352" customWidth="1" width="9.140625"/>
    <col min="10353" max="10353" customWidth="1" width="9.140625"/>
    <col min="10354" max="10354" customWidth="1" width="9.140625"/>
    <col min="10355" max="10355" customWidth="1" width="9.140625"/>
    <col min="10356" max="10356" customWidth="1" width="9.140625"/>
    <col min="10357" max="10357" customWidth="1" width="9.140625"/>
    <col min="10358" max="10358" customWidth="1" width="9.140625"/>
    <col min="10359" max="10359" customWidth="1" width="9.140625"/>
    <col min="10360" max="10360" customWidth="1" width="9.140625"/>
    <col min="10361" max="10361" customWidth="1" width="9.140625"/>
    <col min="10362" max="10362" customWidth="1" width="9.140625"/>
    <col min="10363" max="10363" customWidth="1" width="9.140625"/>
    <col min="10364" max="10364" customWidth="1" width="9.140625"/>
    <col min="10365" max="10365" customWidth="1" width="9.140625"/>
    <col min="10366" max="10366" customWidth="1" width="9.140625"/>
    <col min="10367" max="10367" customWidth="1" width="9.140625"/>
    <col min="10368" max="10368" customWidth="1" width="9.140625"/>
    <col min="10369" max="10369" customWidth="1" width="9.140625"/>
    <col min="10370" max="10370" customWidth="1" width="9.140625"/>
    <col min="10371" max="10371" customWidth="1" width="9.140625"/>
    <col min="10372" max="10372" customWidth="1" width="9.140625"/>
    <col min="10373" max="10373" customWidth="1" width="9.140625"/>
    <col min="10374" max="10374" customWidth="1" width="9.140625"/>
    <col min="10375" max="10375" customWidth="1" width="9.140625"/>
    <col min="10376" max="10376" customWidth="1" width="9.140625"/>
    <col min="10377" max="10377" customWidth="1" width="9.140625"/>
    <col min="10378" max="10378" customWidth="1" width="9.140625"/>
    <col min="10379" max="10379" customWidth="1" width="9.140625"/>
    <col min="10380" max="10380" customWidth="1" width="9.140625"/>
    <col min="10381" max="10381" customWidth="1" width="9.140625"/>
    <col min="10382" max="10382" customWidth="1" width="9.140625"/>
    <col min="10383" max="10383" customWidth="1" width="9.140625"/>
    <col min="10384" max="10384" customWidth="1" width="9.140625"/>
    <col min="10385" max="10385" customWidth="1" width="9.140625"/>
    <col min="10386" max="10386" customWidth="1" width="9.140625"/>
    <col min="10387" max="10387" customWidth="1" width="9.140625"/>
    <col min="10388" max="10388" customWidth="1" width="9.140625"/>
    <col min="10389" max="10389" customWidth="1" width="9.140625"/>
    <col min="10390" max="10390" customWidth="1" width="9.140625"/>
    <col min="10391" max="10391" customWidth="1" width="9.140625"/>
    <col min="10392" max="10392" customWidth="1" width="9.140625"/>
    <col min="10393" max="10393" customWidth="1" width="9.140625"/>
    <col min="10394" max="10394" customWidth="1" width="9.140625"/>
    <col min="10395" max="10395" customWidth="1" width="9.140625"/>
    <col min="10396" max="10396" customWidth="1" width="9.140625"/>
    <col min="10397" max="10397" customWidth="1" width="9.140625"/>
    <col min="10398" max="10398" customWidth="1" width="9.140625"/>
    <col min="10399" max="10399" customWidth="1" width="9.140625"/>
    <col min="10400" max="10400" customWidth="1" width="9.140625"/>
    <col min="10401" max="10401" customWidth="1" width="9.140625"/>
    <col min="10402" max="10402" customWidth="1" width="9.140625"/>
    <col min="10403" max="10403" customWidth="1" width="9.140625"/>
    <col min="10404" max="10404" customWidth="1" width="9.140625"/>
    <col min="10405" max="10405" customWidth="1" width="9.140625"/>
    <col min="10406" max="10406" customWidth="1" width="9.140625"/>
    <col min="10407" max="10407" customWidth="1" width="9.140625"/>
    <col min="10408" max="10408" customWidth="1" width="9.140625"/>
    <col min="10409" max="10409" customWidth="1" width="9.140625"/>
    <col min="10410" max="10410" customWidth="1" width="9.140625"/>
    <col min="10411" max="10411" customWidth="1" width="9.140625"/>
    <col min="10412" max="10412" customWidth="1" width="9.140625"/>
    <col min="10413" max="10413" customWidth="1" width="9.140625"/>
    <col min="10414" max="10414" customWidth="1" width="9.140625"/>
    <col min="10415" max="10415" customWidth="1" width="9.140625"/>
    <col min="10416" max="10416" customWidth="1" width="9.140625"/>
    <col min="10417" max="10417" customWidth="1" width="9.140625"/>
    <col min="10418" max="10418" customWidth="1" width="9.140625"/>
    <col min="10419" max="10419" customWidth="1" width="9.140625"/>
    <col min="10420" max="10420" customWidth="1" width="9.140625"/>
    <col min="10421" max="10421" customWidth="1" width="9.140625"/>
    <col min="10422" max="10422" customWidth="1" width="9.140625"/>
    <col min="10423" max="10423" customWidth="1" width="9.140625"/>
    <col min="10424" max="10424" customWidth="1" width="9.140625"/>
    <col min="10425" max="10425" customWidth="1" width="9.140625"/>
    <col min="10426" max="10426" customWidth="1" width="9.140625"/>
    <col min="10427" max="10427" customWidth="1" width="9.140625"/>
    <col min="10428" max="10428" customWidth="1" width="9.140625"/>
    <col min="10429" max="10429" customWidth="1" width="9.140625"/>
    <col min="10430" max="10430" customWidth="1" width="9.140625"/>
    <col min="10431" max="10431" customWidth="1" width="9.140625"/>
    <col min="10432" max="10432" customWidth="1" width="9.140625"/>
    <col min="10433" max="10433" customWidth="1" width="9.140625"/>
    <col min="10434" max="10434" customWidth="1" width="9.140625"/>
    <col min="10435" max="10435" customWidth="1" width="9.140625"/>
    <col min="10436" max="10436" customWidth="1" width="9.140625"/>
    <col min="10437" max="10437" customWidth="1" width="9.140625"/>
    <col min="10438" max="10438" customWidth="1" width="9.140625"/>
    <col min="10439" max="10439" customWidth="1" width="9.140625"/>
    <col min="10440" max="10440" customWidth="1" width="9.140625"/>
    <col min="10441" max="10441" customWidth="1" width="9.140625"/>
    <col min="10442" max="10442" customWidth="1" width="9.140625"/>
    <col min="10443" max="10443" customWidth="1" width="9.140625"/>
    <col min="10444" max="10444" customWidth="1" width="9.140625"/>
    <col min="10445" max="10445" customWidth="1" width="9.140625"/>
    <col min="10446" max="10446" customWidth="1" width="9.140625"/>
    <col min="10447" max="10447" customWidth="1" width="9.140625"/>
    <col min="10448" max="10448" customWidth="1" width="9.140625"/>
    <col min="10449" max="10449" customWidth="1" width="9.140625"/>
    <col min="10450" max="10450" customWidth="1" width="9.140625"/>
    <col min="10451" max="10451" customWidth="1" width="9.140625"/>
    <col min="10452" max="10452" customWidth="1" width="9.140625"/>
    <col min="10453" max="10453" customWidth="1" width="9.140625"/>
    <col min="10454" max="10454" customWidth="1" width="9.140625"/>
    <col min="10455" max="10455" customWidth="1" width="9.140625"/>
    <col min="10456" max="10456" customWidth="1" width="9.140625"/>
    <col min="10457" max="10457" customWidth="1" width="9.140625"/>
    <col min="10458" max="10458" customWidth="1" width="9.140625"/>
    <col min="10459" max="10459" customWidth="1" width="9.140625"/>
    <col min="10460" max="10460" customWidth="1" width="9.140625"/>
    <col min="10461" max="10461" customWidth="1" width="9.140625"/>
    <col min="10462" max="10462" customWidth="1" width="9.140625"/>
    <col min="10463" max="10463" customWidth="1" width="9.140625"/>
    <col min="10464" max="10464" customWidth="1" width="9.140625"/>
    <col min="10465" max="10465" customWidth="1" width="9.140625"/>
    <col min="10466" max="10466" customWidth="1" width="9.140625"/>
    <col min="10467" max="10467" customWidth="1" width="9.140625"/>
    <col min="10468" max="10468" customWidth="1" width="9.140625"/>
    <col min="10469" max="10469" customWidth="1" width="9.140625"/>
    <col min="10470" max="10470" customWidth="1" width="9.140625"/>
    <col min="10471" max="10471" customWidth="1" width="9.140625"/>
    <col min="10472" max="10472" customWidth="1" width="9.140625"/>
    <col min="10473" max="10473" customWidth="1" width="9.140625"/>
    <col min="10474" max="10474" customWidth="1" width="9.140625"/>
    <col min="10475" max="10475" customWidth="1" width="9.140625"/>
    <col min="10476" max="10476" customWidth="1" width="9.140625"/>
    <col min="10477" max="10477" customWidth="1" width="9.140625"/>
    <col min="10478" max="10478" customWidth="1" width="9.140625"/>
    <col min="10479" max="10479" customWidth="1" width="9.140625"/>
    <col min="10480" max="10480" customWidth="1" width="9.140625"/>
    <col min="10481" max="10481" customWidth="1" width="9.140625"/>
    <col min="10482" max="10482" customWidth="1" width="9.140625"/>
    <col min="10483" max="10483" customWidth="1" width="9.140625"/>
    <col min="10484" max="10484" customWidth="1" width="9.140625"/>
    <col min="10485" max="10485" customWidth="1" width="9.140625"/>
    <col min="10486" max="10486" customWidth="1" width="9.140625"/>
    <col min="10487" max="10487" customWidth="1" width="9.140625"/>
    <col min="10488" max="10488" customWidth="1" width="9.140625"/>
    <col min="10489" max="10489" customWidth="1" width="9.140625"/>
    <col min="10490" max="10490" customWidth="1" width="9.140625"/>
    <col min="10491" max="10491" customWidth="1" width="9.140625"/>
    <col min="10492" max="10492" customWidth="1" width="9.140625"/>
    <col min="10493" max="10493" customWidth="1" width="9.140625"/>
    <col min="10494" max="10494" customWidth="1" width="9.140625"/>
    <col min="10495" max="10495" customWidth="1" width="9.140625"/>
    <col min="10496" max="10496" customWidth="1" width="9.140625"/>
    <col min="10497" max="10497" customWidth="1" width="9.140625"/>
    <col min="10498" max="10498" customWidth="1" width="9.140625"/>
    <col min="10499" max="10499" customWidth="1" width="9.140625"/>
    <col min="10500" max="10500" customWidth="1" width="9.140625"/>
    <col min="10501" max="10501" customWidth="1" width="9.140625"/>
    <col min="10502" max="10502" customWidth="1" width="9.140625"/>
    <col min="10503" max="10503" customWidth="1" width="9.140625"/>
    <col min="10504" max="10504" customWidth="1" width="9.140625"/>
    <col min="10505" max="10505" customWidth="1" width="9.140625"/>
    <col min="10506" max="10506" customWidth="1" width="9.140625"/>
    <col min="10507" max="10507" customWidth="1" width="9.140625"/>
    <col min="10508" max="10508" customWidth="1" width="9.140625"/>
    <col min="10509" max="10509" customWidth="1" width="9.140625"/>
    <col min="10510" max="10510" customWidth="1" width="9.140625"/>
    <col min="10511" max="10511" customWidth="1" width="9.140625"/>
    <col min="10512" max="10512" customWidth="1" width="9.140625"/>
    <col min="10513" max="10513" customWidth="1" width="9.140625"/>
    <col min="10514" max="10514" customWidth="1" width="9.140625"/>
    <col min="10515" max="10515" customWidth="1" width="9.140625"/>
    <col min="10516" max="10516" customWidth="1" width="9.140625"/>
    <col min="10517" max="10517" customWidth="1" width="9.140625"/>
    <col min="10518" max="10518" customWidth="1" width="9.140625"/>
    <col min="10519" max="10519" customWidth="1" width="9.140625"/>
    <col min="10520" max="10520" customWidth="1" width="9.140625"/>
    <col min="10521" max="10521" customWidth="1" width="9.140625"/>
    <col min="10522" max="10522" customWidth="1" width="9.140625"/>
    <col min="10523" max="10523" customWidth="1" width="9.140625"/>
    <col min="10524" max="10524" customWidth="1" width="9.140625"/>
    <col min="10525" max="10525" customWidth="1" width="9.140625"/>
    <col min="10526" max="10526" customWidth="1" width="9.140625"/>
    <col min="10527" max="10527" customWidth="1" width="9.140625"/>
    <col min="10528" max="10528" customWidth="1" width="9.140625"/>
    <col min="10529" max="10529" customWidth="1" width="9.140625"/>
    <col min="10530" max="10530" customWidth="1" width="9.140625"/>
    <col min="10531" max="10531" customWidth="1" width="9.140625"/>
    <col min="10532" max="10532" customWidth="1" width="9.140625"/>
    <col min="10533" max="10533" customWidth="1" width="9.140625"/>
    <col min="10534" max="10534" customWidth="1" width="9.140625"/>
    <col min="10535" max="10535" customWidth="1" width="9.140625"/>
    <col min="10536" max="10536" customWidth="1" width="9.140625"/>
    <col min="10537" max="10537" customWidth="1" width="9.140625"/>
    <col min="10538" max="10538" customWidth="1" width="9.140625"/>
    <col min="10539" max="10539" customWidth="1" width="9.140625"/>
    <col min="10540" max="10540" customWidth="1" width="9.140625"/>
    <col min="10541" max="10541" customWidth="1" width="9.140625"/>
    <col min="10542" max="10542" customWidth="1" width="9.140625"/>
    <col min="10543" max="10543" customWidth="1" width="9.140625"/>
    <col min="10544" max="10544" customWidth="1" width="9.140625"/>
    <col min="10545" max="10545" customWidth="1" width="9.140625"/>
    <col min="10546" max="10546" customWidth="1" width="9.140625"/>
    <col min="10547" max="10547" customWidth="1" width="9.140625"/>
    <col min="10548" max="10548" customWidth="1" width="9.140625"/>
    <col min="10549" max="10549" customWidth="1" width="9.140625"/>
    <col min="10550" max="10550" customWidth="1" width="9.140625"/>
    <col min="10551" max="10551" customWidth="1" width="9.140625"/>
    <col min="10552" max="10552" customWidth="1" width="9.140625"/>
    <col min="10553" max="10553" customWidth="1" width="9.140625"/>
    <col min="10554" max="10554" customWidth="1" width="9.140625"/>
    <col min="10555" max="10555" customWidth="1" width="9.140625"/>
    <col min="10556" max="10556" customWidth="1" width="9.140625"/>
    <col min="10557" max="10557" customWidth="1" width="9.140625"/>
    <col min="10558" max="10558" customWidth="1" width="9.140625"/>
    <col min="10559" max="10559" customWidth="1" width="9.140625"/>
    <col min="10560" max="10560" customWidth="1" width="9.140625"/>
    <col min="10561" max="10561" customWidth="1" width="9.140625"/>
    <col min="10562" max="10562" customWidth="1" width="9.140625"/>
    <col min="10563" max="10563" customWidth="1" width="9.140625"/>
    <col min="10564" max="10564" customWidth="1" width="9.140625"/>
    <col min="10565" max="10565" customWidth="1" width="9.140625"/>
    <col min="10566" max="10566" customWidth="1" width="9.140625"/>
    <col min="10567" max="10567" customWidth="1" width="9.140625"/>
    <col min="10568" max="10568" customWidth="1" width="9.140625"/>
    <col min="10569" max="10569" customWidth="1" width="9.140625"/>
    <col min="10570" max="10570" customWidth="1" width="9.140625"/>
    <col min="10571" max="10571" customWidth="1" width="9.140625"/>
    <col min="10572" max="10572" customWidth="1" width="9.140625"/>
    <col min="10573" max="10573" customWidth="1" width="9.140625"/>
    <col min="10574" max="10574" customWidth="1" width="9.140625"/>
    <col min="10575" max="10575" customWidth="1" width="9.140625"/>
    <col min="10576" max="10576" customWidth="1" width="9.140625"/>
    <col min="10577" max="10577" customWidth="1" width="9.140625"/>
    <col min="10578" max="10578" customWidth="1" width="9.140625"/>
    <col min="10579" max="10579" customWidth="1" width="9.140625"/>
    <col min="10580" max="10580" customWidth="1" width="9.140625"/>
    <col min="10581" max="10581" customWidth="1" width="9.140625"/>
    <col min="10582" max="10582" customWidth="1" width="9.140625"/>
    <col min="10583" max="10583" customWidth="1" width="9.140625"/>
    <col min="10584" max="10584" customWidth="1" width="9.140625"/>
    <col min="10585" max="10585" customWidth="1" width="9.140625"/>
    <col min="10586" max="10586" customWidth="1" width="9.140625"/>
    <col min="10587" max="10587" customWidth="1" width="9.140625"/>
    <col min="10588" max="10588" customWidth="1" width="9.140625"/>
    <col min="10589" max="10589" customWidth="1" width="9.140625"/>
    <col min="10590" max="10590" customWidth="1" width="9.140625"/>
    <col min="10591" max="10591" customWidth="1" width="9.140625"/>
    <col min="10592" max="10592" customWidth="1" width="9.140625"/>
    <col min="10593" max="10593" customWidth="1" width="9.140625"/>
    <col min="10594" max="10594" customWidth="1" width="9.140625"/>
    <col min="10595" max="10595" customWidth="1" width="9.140625"/>
    <col min="10596" max="10596" customWidth="1" width="9.140625"/>
    <col min="10597" max="10597" customWidth="1" width="9.140625"/>
    <col min="10598" max="10598" customWidth="1" width="9.140625"/>
    <col min="10599" max="10599" customWidth="1" width="9.140625"/>
    <col min="10600" max="10600" customWidth="1" width="9.140625"/>
    <col min="10601" max="10601" customWidth="1" width="9.140625"/>
    <col min="10602" max="10602" customWidth="1" width="9.140625"/>
    <col min="10603" max="10603" customWidth="1" width="9.140625"/>
    <col min="10604" max="10604" customWidth="1" width="9.140625"/>
    <col min="10605" max="10605" customWidth="1" width="9.140625"/>
    <col min="10606" max="10606" customWidth="1" width="9.140625"/>
    <col min="10607" max="10607" customWidth="1" width="9.140625"/>
    <col min="10608" max="10608" customWidth="1" width="9.140625"/>
    <col min="10609" max="10609" customWidth="1" width="9.140625"/>
    <col min="10610" max="10610" customWidth="1" width="9.140625"/>
    <col min="10611" max="10611" customWidth="1" width="9.140625"/>
    <col min="10612" max="10612" customWidth="1" width="9.140625"/>
    <col min="10613" max="10613" customWidth="1" width="9.140625"/>
    <col min="10614" max="10614" customWidth="1" width="9.140625"/>
    <col min="10615" max="10615" customWidth="1" width="9.140625"/>
    <col min="10616" max="10616" customWidth="1" width="9.140625"/>
    <col min="10617" max="10617" customWidth="1" width="9.140625"/>
    <col min="10618" max="10618" customWidth="1" width="9.140625"/>
    <col min="10619" max="10619" customWidth="1" width="9.140625"/>
    <col min="10620" max="10620" customWidth="1" width="9.140625"/>
    <col min="10621" max="10621" customWidth="1" width="9.140625"/>
    <col min="10622" max="10622" customWidth="1" width="9.140625"/>
    <col min="10623" max="10623" customWidth="1" width="9.140625"/>
    <col min="10624" max="10624" customWidth="1" width="9.140625"/>
    <col min="10625" max="10625" customWidth="1" width="9.140625"/>
    <col min="10626" max="10626" customWidth="1" width="9.140625"/>
    <col min="10627" max="10627" customWidth="1" width="9.140625"/>
    <col min="10628" max="10628" customWidth="1" width="9.140625"/>
    <col min="10629" max="10629" customWidth="1" width="9.140625"/>
    <col min="10630" max="10630" customWidth="1" width="9.140625"/>
    <col min="10631" max="10631" customWidth="1" width="9.140625"/>
    <col min="10632" max="10632" customWidth="1" width="9.140625"/>
    <col min="10633" max="10633" customWidth="1" width="9.140625"/>
    <col min="10634" max="10634" customWidth="1" width="9.140625"/>
    <col min="10635" max="10635" customWidth="1" width="9.140625"/>
    <col min="10636" max="10636" customWidth="1" width="9.140625"/>
    <col min="10637" max="10637" customWidth="1" width="9.140625"/>
    <col min="10638" max="10638" customWidth="1" width="9.140625"/>
    <col min="10639" max="10639" customWidth="1" width="9.140625"/>
    <col min="10640" max="10640" customWidth="1" width="9.140625"/>
    <col min="10641" max="10641" customWidth="1" width="9.140625"/>
    <col min="10642" max="10642" customWidth="1" width="9.140625"/>
    <col min="10643" max="10643" customWidth="1" width="9.140625"/>
    <col min="10644" max="10644" customWidth="1" width="9.140625"/>
    <col min="10645" max="10645" customWidth="1" width="9.140625"/>
    <col min="10646" max="10646" customWidth="1" width="9.140625"/>
    <col min="10647" max="10647" customWidth="1" width="9.140625"/>
    <col min="10648" max="10648" customWidth="1" width="9.140625"/>
    <col min="10649" max="10649" customWidth="1" width="9.140625"/>
    <col min="10650" max="10650" customWidth="1" width="9.140625"/>
    <col min="10651" max="10651" customWidth="1" width="9.140625"/>
    <col min="10652" max="10652" customWidth="1" width="9.140625"/>
    <col min="10653" max="10653" customWidth="1" width="9.140625"/>
    <col min="10654" max="10654" customWidth="1" width="9.140625"/>
    <col min="10655" max="10655" customWidth="1" width="9.140625"/>
    <col min="10656" max="10656" customWidth="1" width="9.140625"/>
    <col min="10657" max="10657" customWidth="1" width="9.140625"/>
    <col min="10658" max="10658" customWidth="1" width="9.140625"/>
    <col min="10659" max="10659" customWidth="1" width="9.140625"/>
    <col min="10660" max="10660" customWidth="1" width="9.140625"/>
    <col min="10661" max="10661" customWidth="1" width="9.140625"/>
    <col min="10662" max="10662" customWidth="1" width="9.140625"/>
    <col min="10663" max="10663" customWidth="1" width="9.140625"/>
    <col min="10664" max="10664" customWidth="1" width="9.140625"/>
    <col min="10665" max="10665" customWidth="1" width="9.140625"/>
    <col min="10666" max="10666" customWidth="1" width="9.140625"/>
    <col min="10667" max="10667" customWidth="1" width="9.140625"/>
    <col min="10668" max="10668" customWidth="1" width="9.140625"/>
    <col min="10669" max="10669" customWidth="1" width="9.140625"/>
    <col min="10670" max="10670" customWidth="1" width="9.140625"/>
    <col min="10671" max="10671" customWidth="1" width="9.140625"/>
    <col min="10672" max="10672" customWidth="1" width="9.140625"/>
    <col min="10673" max="10673" customWidth="1" width="9.140625"/>
    <col min="10674" max="10674" customWidth="1" width="9.140625"/>
    <col min="10675" max="10675" customWidth="1" width="9.140625"/>
    <col min="10676" max="10676" customWidth="1" width="9.140625"/>
    <col min="10677" max="10677" customWidth="1" width="9.140625"/>
    <col min="10678" max="10678" customWidth="1" width="9.140625"/>
    <col min="10679" max="10679" customWidth="1" width="9.140625"/>
    <col min="10680" max="10680" customWidth="1" width="9.140625"/>
    <col min="10681" max="10681" customWidth="1" width="9.140625"/>
    <col min="10682" max="10682" customWidth="1" width="9.140625"/>
    <col min="10683" max="10683" customWidth="1" width="9.140625"/>
    <col min="10684" max="10684" customWidth="1" width="9.140625"/>
    <col min="10685" max="10685" customWidth="1" width="9.140625"/>
    <col min="10686" max="10686" customWidth="1" width="9.140625"/>
    <col min="10687" max="10687" customWidth="1" width="9.140625"/>
    <col min="10688" max="10688" customWidth="1" width="9.140625"/>
    <col min="10689" max="10689" customWidth="1" width="9.140625"/>
    <col min="10690" max="10690" customWidth="1" width="9.140625"/>
    <col min="10691" max="10691" customWidth="1" width="9.140625"/>
    <col min="10692" max="10692" customWidth="1" width="9.140625"/>
    <col min="10693" max="10693" customWidth="1" width="9.140625"/>
    <col min="10694" max="10694" customWidth="1" width="9.140625"/>
    <col min="10695" max="10695" customWidth="1" width="9.140625"/>
    <col min="10696" max="10696" customWidth="1" width="9.140625"/>
    <col min="10697" max="10697" customWidth="1" width="9.140625"/>
    <col min="10698" max="10698" customWidth="1" width="9.140625"/>
    <col min="10699" max="10699" customWidth="1" width="9.140625"/>
    <col min="10700" max="10700" customWidth="1" width="9.140625"/>
    <col min="10701" max="10701" customWidth="1" width="9.140625"/>
    <col min="10702" max="10702" customWidth="1" width="9.140625"/>
    <col min="10703" max="10703" customWidth="1" width="9.140625"/>
    <col min="10704" max="10704" customWidth="1" width="9.140625"/>
    <col min="10705" max="10705" customWidth="1" width="9.140625"/>
    <col min="10706" max="10706" customWidth="1" width="9.140625"/>
    <col min="10707" max="10707" customWidth="1" width="9.140625"/>
    <col min="10708" max="10708" customWidth="1" width="9.140625"/>
    <col min="10709" max="10709" customWidth="1" width="9.140625"/>
    <col min="10710" max="10710" customWidth="1" width="9.140625"/>
    <col min="10711" max="10711" customWidth="1" width="9.140625"/>
    <col min="10712" max="10712" customWidth="1" width="9.140625"/>
    <col min="10713" max="10713" customWidth="1" width="9.140625"/>
    <col min="10714" max="10714" customWidth="1" width="9.140625"/>
    <col min="10715" max="10715" customWidth="1" width="9.140625"/>
    <col min="10716" max="10716" customWidth="1" width="9.140625"/>
    <col min="10717" max="10717" customWidth="1" width="9.140625"/>
    <col min="10718" max="10718" customWidth="1" width="9.140625"/>
    <col min="10719" max="10719" customWidth="1" width="9.140625"/>
    <col min="10720" max="10720" customWidth="1" width="9.140625"/>
    <col min="10721" max="10721" customWidth="1" width="9.140625"/>
    <col min="10722" max="10722" customWidth="1" width="9.140625"/>
    <col min="10723" max="10723" customWidth="1" width="9.140625"/>
    <col min="10724" max="10724" customWidth="1" width="9.140625"/>
    <col min="10725" max="10725" customWidth="1" width="9.140625"/>
    <col min="10726" max="10726" customWidth="1" width="9.140625"/>
    <col min="10727" max="10727" customWidth="1" width="9.140625"/>
    <col min="10728" max="10728" customWidth="1" width="9.140625"/>
    <col min="10729" max="10729" customWidth="1" width="9.140625"/>
    <col min="10730" max="10730" customWidth="1" width="9.140625"/>
    <col min="10731" max="10731" customWidth="1" width="9.140625"/>
    <col min="10732" max="10732" customWidth="1" width="9.140625"/>
    <col min="10733" max="10733" customWidth="1" width="9.140625"/>
    <col min="10734" max="10734" customWidth="1" width="9.140625"/>
    <col min="10735" max="10735" customWidth="1" width="9.140625"/>
    <col min="10736" max="10736" customWidth="1" width="9.140625"/>
    <col min="10737" max="10737" customWidth="1" width="9.140625"/>
    <col min="10738" max="10738" customWidth="1" width="9.140625"/>
    <col min="10739" max="10739" customWidth="1" width="9.140625"/>
    <col min="10740" max="10740" customWidth="1" width="9.140625"/>
    <col min="10741" max="10741" customWidth="1" width="9.140625"/>
    <col min="10742" max="10742" customWidth="1" width="9.140625"/>
    <col min="10743" max="10743" customWidth="1" width="9.140625"/>
    <col min="10744" max="10744" customWidth="1" width="9.140625"/>
    <col min="10745" max="10745" customWidth="1" width="9.140625"/>
    <col min="10746" max="10746" customWidth="1" width="9.140625"/>
    <col min="10747" max="10747" customWidth="1" width="9.140625"/>
    <col min="10748" max="10748" customWidth="1" width="9.140625"/>
    <col min="10749" max="10749" customWidth="1" width="9.140625"/>
    <col min="10750" max="10750" customWidth="1" width="9.140625"/>
    <col min="10751" max="10751" customWidth="1" width="9.140625"/>
    <col min="10752" max="10752" customWidth="1" width="9.140625"/>
    <col min="10753" max="10753" customWidth="1" width="9.140625"/>
    <col min="10754" max="10754" customWidth="1" width="9.140625"/>
    <col min="10755" max="10755" customWidth="1" width="9.140625"/>
    <col min="10756" max="10756" customWidth="1" width="9.140625"/>
    <col min="10757" max="10757" customWidth="1" width="9.140625"/>
    <col min="10758" max="10758" customWidth="1" width="9.140625"/>
    <col min="10759" max="10759" customWidth="1" width="9.140625"/>
    <col min="10760" max="10760" customWidth="1" width="9.140625"/>
    <col min="10761" max="10761" customWidth="1" width="9.140625"/>
    <col min="10762" max="10762" customWidth="1" width="9.140625"/>
    <col min="10763" max="10763" customWidth="1" width="9.140625"/>
    <col min="10764" max="10764" customWidth="1" width="9.140625"/>
    <col min="10765" max="10765" customWidth="1" width="9.140625"/>
    <col min="10766" max="10766" customWidth="1" width="9.140625"/>
    <col min="10767" max="10767" customWidth="1" width="9.140625"/>
    <col min="10768" max="10768" customWidth="1" width="9.140625"/>
    <col min="10769" max="10769" customWidth="1" width="9.140625"/>
    <col min="10770" max="10770" customWidth="1" width="9.140625"/>
    <col min="10771" max="10771" customWidth="1" width="9.140625"/>
    <col min="10772" max="10772" customWidth="1" width="9.140625"/>
    <col min="10773" max="10773" customWidth="1" width="9.140625"/>
    <col min="10774" max="10774" customWidth="1" width="9.140625"/>
    <col min="10775" max="10775" customWidth="1" width="9.140625"/>
    <col min="10776" max="10776" customWidth="1" width="9.140625"/>
    <col min="10777" max="10777" customWidth="1" width="9.140625"/>
    <col min="10778" max="10778" customWidth="1" width="9.140625"/>
    <col min="10779" max="10779" customWidth="1" width="9.140625"/>
    <col min="10780" max="10780" customWidth="1" width="9.140625"/>
    <col min="10781" max="10781" customWidth="1" width="9.140625"/>
    <col min="10782" max="10782" customWidth="1" width="9.140625"/>
    <col min="10783" max="10783" customWidth="1" width="9.140625"/>
    <col min="10784" max="10784" customWidth="1" width="9.140625"/>
    <col min="10785" max="10785" customWidth="1" width="9.140625"/>
    <col min="10786" max="10786" customWidth="1" width="9.140625"/>
    <col min="10787" max="10787" customWidth="1" width="9.140625"/>
    <col min="10788" max="10788" customWidth="1" width="9.140625"/>
    <col min="10789" max="10789" customWidth="1" width="9.140625"/>
    <col min="10790" max="10790" customWidth="1" width="9.140625"/>
    <col min="10791" max="10791" customWidth="1" width="9.140625"/>
    <col min="10792" max="10792" customWidth="1" width="9.140625"/>
    <col min="10793" max="10793" customWidth="1" width="9.140625"/>
    <col min="10794" max="10794" customWidth="1" width="9.140625"/>
    <col min="10795" max="10795" customWidth="1" width="9.140625"/>
    <col min="10796" max="10796" customWidth="1" width="9.140625"/>
    <col min="10797" max="10797" customWidth="1" width="9.140625"/>
    <col min="10798" max="10798" customWidth="1" width="9.140625"/>
    <col min="10799" max="10799" customWidth="1" width="9.140625"/>
    <col min="10800" max="10800" customWidth="1" width="9.140625"/>
    <col min="10801" max="10801" customWidth="1" width="9.140625"/>
    <col min="10802" max="10802" customWidth="1" width="9.140625"/>
    <col min="10803" max="10803" customWidth="1" width="9.140625"/>
    <col min="10804" max="10804" customWidth="1" width="9.140625"/>
    <col min="10805" max="10805" customWidth="1" width="9.140625"/>
    <col min="10806" max="10806" customWidth="1" width="9.140625"/>
    <col min="10807" max="10807" customWidth="1" width="9.140625"/>
    <col min="10808" max="10808" customWidth="1" width="9.140625"/>
    <col min="10809" max="10809" customWidth="1" width="9.140625"/>
    <col min="10810" max="10810" customWidth="1" width="9.140625"/>
    <col min="10811" max="10811" customWidth="1" width="9.140625"/>
    <col min="10812" max="10812" customWidth="1" width="9.140625"/>
    <col min="10813" max="10813" customWidth="1" width="9.140625"/>
    <col min="10814" max="10814" customWidth="1" width="9.140625"/>
    <col min="10815" max="10815" customWidth="1" width="9.140625"/>
    <col min="10816" max="10816" customWidth="1" width="9.140625"/>
    <col min="10817" max="10817" customWidth="1" width="9.140625"/>
    <col min="10818" max="10818" customWidth="1" width="9.140625"/>
    <col min="10819" max="10819" customWidth="1" width="9.140625"/>
    <col min="10820" max="10820" customWidth="1" width="9.140625"/>
    <col min="10821" max="10821" customWidth="1" width="9.140625"/>
    <col min="10822" max="10822" customWidth="1" width="9.140625"/>
    <col min="10823" max="10823" customWidth="1" width="9.140625"/>
    <col min="10824" max="10824" customWidth="1" width="9.140625"/>
    <col min="10825" max="10825" customWidth="1" width="9.140625"/>
    <col min="10826" max="10826" customWidth="1" width="9.140625"/>
    <col min="10827" max="10827" customWidth="1" width="9.140625"/>
    <col min="10828" max="10828" customWidth="1" width="9.140625"/>
    <col min="10829" max="10829" customWidth="1" width="9.140625"/>
    <col min="10830" max="10830" customWidth="1" width="9.140625"/>
    <col min="10831" max="10831" customWidth="1" width="9.140625"/>
    <col min="10832" max="10832" customWidth="1" width="9.140625"/>
    <col min="10833" max="10833" customWidth="1" width="9.140625"/>
    <col min="10834" max="10834" customWidth="1" width="9.140625"/>
    <col min="10835" max="10835" customWidth="1" width="9.140625"/>
    <col min="10836" max="10836" customWidth="1" width="9.140625"/>
    <col min="10837" max="10837" customWidth="1" width="9.140625"/>
    <col min="10838" max="10838" customWidth="1" width="9.140625"/>
    <col min="10839" max="10839" customWidth="1" width="9.140625"/>
    <col min="10840" max="10840" customWidth="1" width="9.140625"/>
    <col min="10841" max="10841" customWidth="1" width="9.140625"/>
    <col min="10842" max="10842" customWidth="1" width="9.140625"/>
    <col min="10843" max="10843" customWidth="1" width="9.140625"/>
    <col min="10844" max="10844" customWidth="1" width="9.140625"/>
    <col min="10845" max="10845" customWidth="1" width="9.140625"/>
    <col min="10846" max="10846" customWidth="1" width="9.140625"/>
    <col min="10847" max="10847" customWidth="1" width="9.140625"/>
    <col min="10848" max="10848" customWidth="1" width="9.140625"/>
    <col min="10849" max="10849" customWidth="1" width="9.140625"/>
    <col min="10850" max="10850" customWidth="1" width="9.140625"/>
    <col min="10851" max="10851" customWidth="1" width="9.140625"/>
    <col min="10852" max="10852" customWidth="1" width="9.140625"/>
    <col min="10853" max="10853" customWidth="1" width="9.140625"/>
    <col min="10854" max="10854" customWidth="1" width="9.140625"/>
    <col min="10855" max="10855" customWidth="1" width="9.140625"/>
    <col min="10856" max="10856" customWidth="1" width="9.140625"/>
    <col min="10857" max="10857" customWidth="1" width="9.140625"/>
    <col min="10858" max="10858" customWidth="1" width="9.140625"/>
    <col min="10859" max="10859" customWidth="1" width="9.140625"/>
    <col min="10860" max="10860" customWidth="1" width="9.140625"/>
    <col min="10861" max="10861" customWidth="1" width="9.140625"/>
    <col min="10862" max="10862" customWidth="1" width="9.140625"/>
    <col min="10863" max="10863" customWidth="1" width="9.140625"/>
    <col min="10864" max="10864" customWidth="1" width="9.140625"/>
    <col min="10865" max="10865" customWidth="1" width="9.140625"/>
    <col min="10866" max="10866" customWidth="1" width="9.140625"/>
    <col min="10867" max="10867" customWidth="1" width="9.140625"/>
    <col min="10868" max="10868" customWidth="1" width="9.140625"/>
    <col min="10869" max="10869" customWidth="1" width="9.140625"/>
    <col min="10870" max="10870" customWidth="1" width="9.140625"/>
    <col min="10871" max="10871" customWidth="1" width="9.140625"/>
    <col min="10872" max="10872" customWidth="1" width="9.140625"/>
    <col min="10873" max="10873" customWidth="1" width="9.140625"/>
    <col min="10874" max="10874" customWidth="1" width="9.140625"/>
    <col min="10875" max="10875" customWidth="1" width="9.140625"/>
    <col min="10876" max="10876" customWidth="1" width="9.140625"/>
    <col min="10877" max="10877" customWidth="1" width="9.140625"/>
    <col min="10878" max="10878" customWidth="1" width="9.140625"/>
    <col min="10879" max="10879" customWidth="1" width="9.140625"/>
    <col min="10880" max="10880" customWidth="1" width="9.140625"/>
    <col min="10881" max="10881" customWidth="1" width="9.140625"/>
    <col min="10882" max="10882" customWidth="1" width="9.140625"/>
    <col min="10883" max="10883" customWidth="1" width="9.140625"/>
    <col min="10884" max="10884" customWidth="1" width="9.140625"/>
    <col min="10885" max="10885" customWidth="1" width="9.140625"/>
    <col min="10886" max="10886" customWidth="1" width="9.140625"/>
    <col min="10887" max="10887" customWidth="1" width="9.140625"/>
    <col min="10888" max="10888" customWidth="1" width="9.140625"/>
    <col min="10889" max="10889" customWidth="1" width="9.140625"/>
    <col min="10890" max="10890" customWidth="1" width="9.140625"/>
    <col min="10891" max="10891" customWidth="1" width="9.140625"/>
    <col min="10892" max="10892" customWidth="1" width="9.140625"/>
    <col min="10893" max="10893" customWidth="1" width="9.140625"/>
    <col min="10894" max="10894" customWidth="1" width="9.140625"/>
    <col min="10895" max="10895" customWidth="1" width="9.140625"/>
    <col min="10896" max="10896" customWidth="1" width="9.140625"/>
    <col min="10897" max="10897" customWidth="1" width="9.140625"/>
    <col min="10898" max="10898" customWidth="1" width="9.140625"/>
    <col min="10899" max="10899" customWidth="1" width="9.140625"/>
    <col min="10900" max="10900" customWidth="1" width="9.140625"/>
    <col min="10901" max="10901" customWidth="1" width="9.140625"/>
    <col min="10902" max="10902" customWidth="1" width="9.140625"/>
    <col min="10903" max="10903" customWidth="1" width="9.140625"/>
    <col min="10904" max="10904" customWidth="1" width="9.140625"/>
    <col min="10905" max="10905" customWidth="1" width="9.140625"/>
    <col min="10906" max="10906" customWidth="1" width="9.140625"/>
    <col min="10907" max="10907" customWidth="1" width="9.140625"/>
    <col min="10908" max="10908" customWidth="1" width="9.140625"/>
    <col min="10909" max="10909" customWidth="1" width="9.140625"/>
    <col min="10910" max="10910" customWidth="1" width="9.140625"/>
    <col min="10911" max="10911" customWidth="1" width="9.140625"/>
    <col min="10912" max="10912" customWidth="1" width="9.140625"/>
    <col min="10913" max="10913" customWidth="1" width="9.140625"/>
    <col min="10914" max="10914" customWidth="1" width="9.140625"/>
    <col min="10915" max="10915" customWidth="1" width="9.140625"/>
    <col min="10916" max="10916" customWidth="1" width="9.140625"/>
    <col min="10917" max="10917" customWidth="1" width="9.140625"/>
    <col min="10918" max="10918" customWidth="1" width="9.140625"/>
    <col min="10919" max="10919" customWidth="1" width="9.140625"/>
    <col min="10920" max="10920" customWidth="1" width="9.140625"/>
    <col min="10921" max="10921" customWidth="1" width="9.140625"/>
    <col min="10922" max="10922" customWidth="1" width="9.140625"/>
    <col min="10923" max="10923" customWidth="1" width="9.140625"/>
    <col min="10924" max="10924" customWidth="1" width="9.140625"/>
    <col min="10925" max="10925" customWidth="1" width="9.140625"/>
    <col min="10926" max="10926" customWidth="1" width="9.140625"/>
    <col min="10927" max="10927" customWidth="1" width="9.140625"/>
    <col min="10928" max="10928" customWidth="1" width="9.140625"/>
    <col min="10929" max="10929" customWidth="1" width="9.140625"/>
    <col min="10930" max="10930" customWidth="1" width="9.140625"/>
    <col min="10931" max="10931" customWidth="1" width="9.140625"/>
    <col min="10932" max="10932" customWidth="1" width="9.140625"/>
    <col min="10933" max="10933" customWidth="1" width="9.140625"/>
    <col min="10934" max="10934" customWidth="1" width="9.140625"/>
    <col min="10935" max="10935" customWidth="1" width="9.140625"/>
    <col min="10936" max="10936" customWidth="1" width="9.140625"/>
    <col min="10937" max="10937" customWidth="1" width="9.140625"/>
    <col min="10938" max="10938" customWidth="1" width="9.140625"/>
    <col min="10939" max="10939" customWidth="1" width="9.140625"/>
    <col min="10940" max="10940" customWidth="1" width="9.140625"/>
    <col min="10941" max="10941" customWidth="1" width="9.140625"/>
    <col min="10942" max="10942" customWidth="1" width="9.140625"/>
    <col min="10943" max="10943" customWidth="1" width="9.140625"/>
    <col min="10944" max="10944" customWidth="1" width="9.140625"/>
    <col min="10945" max="10945" customWidth="1" width="9.140625"/>
    <col min="10946" max="10946" customWidth="1" width="9.140625"/>
    <col min="10947" max="10947" customWidth="1" width="9.140625"/>
    <col min="10948" max="10948" customWidth="1" width="9.140625"/>
    <col min="10949" max="10949" customWidth="1" width="9.140625"/>
    <col min="10950" max="10950" customWidth="1" width="9.140625"/>
    <col min="10951" max="10951" customWidth="1" width="9.140625"/>
    <col min="10952" max="10952" customWidth="1" width="9.140625"/>
    <col min="10953" max="10953" customWidth="1" width="9.140625"/>
    <col min="10954" max="10954" customWidth="1" width="9.140625"/>
    <col min="10955" max="10955" customWidth="1" width="9.140625"/>
    <col min="10956" max="10956" customWidth="1" width="9.140625"/>
    <col min="10957" max="10957" customWidth="1" width="9.140625"/>
    <col min="10958" max="10958" customWidth="1" width="9.140625"/>
    <col min="10959" max="10959" customWidth="1" width="9.140625"/>
    <col min="10960" max="10960" customWidth="1" width="9.140625"/>
    <col min="10961" max="10961" customWidth="1" width="9.140625"/>
    <col min="10962" max="10962" customWidth="1" width="9.140625"/>
    <col min="10963" max="10963" customWidth="1" width="9.140625"/>
    <col min="10964" max="10964" customWidth="1" width="9.140625"/>
    <col min="10965" max="10965" customWidth="1" width="9.140625"/>
    <col min="10966" max="10966" customWidth="1" width="9.140625"/>
    <col min="10967" max="10967" customWidth="1" width="9.140625"/>
    <col min="10968" max="10968" customWidth="1" width="9.140625"/>
    <col min="10969" max="10969" customWidth="1" width="9.140625"/>
    <col min="10970" max="10970" customWidth="1" width="9.140625"/>
    <col min="10971" max="10971" customWidth="1" width="9.140625"/>
    <col min="10972" max="10972" customWidth="1" width="9.140625"/>
    <col min="10973" max="10973" customWidth="1" width="9.140625"/>
    <col min="10974" max="10974" customWidth="1" width="9.140625"/>
    <col min="10975" max="10975" customWidth="1" width="9.140625"/>
    <col min="10976" max="10976" customWidth="1" width="9.140625"/>
    <col min="10977" max="10977" customWidth="1" width="9.140625"/>
    <col min="10978" max="10978" customWidth="1" width="9.140625"/>
    <col min="10979" max="10979" customWidth="1" width="9.140625"/>
    <col min="10980" max="10980" customWidth="1" width="9.140625"/>
    <col min="10981" max="10981" customWidth="1" width="9.140625"/>
    <col min="10982" max="10982" customWidth="1" width="9.140625"/>
    <col min="10983" max="10983" customWidth="1" width="9.140625"/>
    <col min="10984" max="10984" customWidth="1" width="9.140625"/>
    <col min="10985" max="10985" customWidth="1" width="9.140625"/>
    <col min="10986" max="10986" customWidth="1" width="9.140625"/>
    <col min="10987" max="10987" customWidth="1" width="9.140625"/>
    <col min="10988" max="10988" customWidth="1" width="9.140625"/>
    <col min="10989" max="10989" customWidth="1" width="9.140625"/>
    <col min="10990" max="10990" customWidth="1" width="9.140625"/>
    <col min="10991" max="10991" customWidth="1" width="9.140625"/>
    <col min="10992" max="10992" customWidth="1" width="9.140625"/>
    <col min="10993" max="10993" customWidth="1" width="9.140625"/>
    <col min="10994" max="10994" customWidth="1" width="9.140625"/>
    <col min="10995" max="10995" customWidth="1" width="9.140625"/>
    <col min="10996" max="10996" customWidth="1" width="9.140625"/>
    <col min="10997" max="10997" customWidth="1" width="9.140625"/>
    <col min="10998" max="10998" customWidth="1" width="9.140625"/>
    <col min="10999" max="10999" customWidth="1" width="9.140625"/>
    <col min="11000" max="11000" customWidth="1" width="9.140625"/>
    <col min="11001" max="11001" customWidth="1" width="9.140625"/>
    <col min="11002" max="11002" customWidth="1" width="9.140625"/>
    <col min="11003" max="11003" customWidth="1" width="9.140625"/>
    <col min="11004" max="11004" customWidth="1" width="9.140625"/>
    <col min="11005" max="11005" customWidth="1" width="9.140625"/>
    <col min="11006" max="11006" customWidth="1" width="9.140625"/>
    <col min="11007" max="11007" customWidth="1" width="9.140625"/>
    <col min="11008" max="11008" customWidth="1" width="9.140625"/>
    <col min="11009" max="11009" customWidth="1" width="9.140625"/>
    <col min="11010" max="11010" customWidth="1" width="9.140625"/>
    <col min="11011" max="11011" customWidth="1" width="9.140625"/>
    <col min="11012" max="11012" customWidth="1" width="9.140625"/>
    <col min="11013" max="11013" customWidth="1" width="9.140625"/>
    <col min="11014" max="11014" customWidth="1" width="9.140625"/>
    <col min="11015" max="11015" customWidth="1" width="9.140625"/>
    <col min="11016" max="11016" customWidth="1" width="9.140625"/>
    <col min="11017" max="11017" customWidth="1" width="9.140625"/>
    <col min="11018" max="11018" customWidth="1" width="9.140625"/>
    <col min="11019" max="11019" customWidth="1" width="9.140625"/>
    <col min="11020" max="11020" customWidth="1" width="9.140625"/>
    <col min="11021" max="11021" customWidth="1" width="9.140625"/>
    <col min="11022" max="11022" customWidth="1" width="9.140625"/>
    <col min="11023" max="11023" customWidth="1" width="9.140625"/>
    <col min="11024" max="11024" customWidth="1" width="9.140625"/>
    <col min="11025" max="11025" customWidth="1" width="9.140625"/>
    <col min="11026" max="11026" customWidth="1" width="9.140625"/>
    <col min="11027" max="11027" customWidth="1" width="9.140625"/>
    <col min="11028" max="11028" customWidth="1" width="9.140625"/>
    <col min="11029" max="11029" customWidth="1" width="9.140625"/>
    <col min="11030" max="11030" customWidth="1" width="9.140625"/>
    <col min="11031" max="11031" customWidth="1" width="9.140625"/>
    <col min="11032" max="11032" customWidth="1" width="9.140625"/>
    <col min="11033" max="11033" customWidth="1" width="9.140625"/>
    <col min="11034" max="11034" customWidth="1" width="9.140625"/>
    <col min="11035" max="11035" customWidth="1" width="9.140625"/>
    <col min="11036" max="11036" customWidth="1" width="9.140625"/>
    <col min="11037" max="11037" customWidth="1" width="9.140625"/>
    <col min="11038" max="11038" customWidth="1" width="9.140625"/>
    <col min="11039" max="11039" customWidth="1" width="9.140625"/>
    <col min="11040" max="11040" customWidth="1" width="9.140625"/>
    <col min="11041" max="11041" customWidth="1" width="9.140625"/>
    <col min="11042" max="11042" customWidth="1" width="9.140625"/>
    <col min="11043" max="11043" customWidth="1" width="9.140625"/>
    <col min="11044" max="11044" customWidth="1" width="9.140625"/>
    <col min="11045" max="11045" customWidth="1" width="9.140625"/>
    <col min="11046" max="11046" customWidth="1" width="9.140625"/>
    <col min="11047" max="11047" customWidth="1" width="9.140625"/>
    <col min="11048" max="11048" customWidth="1" width="9.140625"/>
    <col min="11049" max="11049" customWidth="1" width="9.140625"/>
    <col min="11050" max="11050" customWidth="1" width="9.140625"/>
    <col min="11051" max="11051" customWidth="1" width="9.140625"/>
    <col min="11052" max="11052" customWidth="1" width="9.140625"/>
    <col min="11053" max="11053" customWidth="1" width="9.140625"/>
    <col min="11054" max="11054" customWidth="1" width="9.140625"/>
    <col min="11055" max="11055" customWidth="1" width="9.140625"/>
    <col min="11056" max="11056" customWidth="1" width="9.140625"/>
    <col min="11057" max="11057" customWidth="1" width="9.140625"/>
    <col min="11058" max="11058" customWidth="1" width="9.140625"/>
    <col min="11059" max="11059" customWidth="1" width="9.140625"/>
    <col min="11060" max="11060" customWidth="1" width="9.140625"/>
    <col min="11061" max="11061" customWidth="1" width="9.140625"/>
    <col min="11062" max="11062" customWidth="1" width="9.140625"/>
    <col min="11063" max="11063" customWidth="1" width="9.140625"/>
    <col min="11064" max="11064" customWidth="1" width="9.140625"/>
    <col min="11065" max="11065" customWidth="1" width="9.140625"/>
    <col min="11066" max="11066" customWidth="1" width="9.140625"/>
    <col min="11067" max="11067" customWidth="1" width="9.140625"/>
    <col min="11068" max="11068" customWidth="1" width="9.140625"/>
    <col min="11069" max="11069" customWidth="1" width="9.140625"/>
    <col min="11070" max="11070" customWidth="1" width="9.140625"/>
    <col min="11071" max="11071" customWidth="1" width="9.140625"/>
    <col min="11072" max="11072" customWidth="1" width="9.140625"/>
    <col min="11073" max="11073" customWidth="1" width="9.140625"/>
    <col min="11074" max="11074" customWidth="1" width="9.140625"/>
    <col min="11075" max="11075" customWidth="1" width="9.140625"/>
    <col min="11076" max="11076" customWidth="1" width="9.140625"/>
    <col min="11077" max="11077" customWidth="1" width="9.140625"/>
    <col min="11078" max="11078" customWidth="1" width="9.140625"/>
    <col min="11079" max="11079" customWidth="1" width="9.140625"/>
    <col min="11080" max="11080" customWidth="1" width="9.140625"/>
    <col min="11081" max="11081" customWidth="1" width="9.140625"/>
    <col min="11082" max="11082" customWidth="1" width="9.140625"/>
    <col min="11083" max="11083" customWidth="1" width="9.140625"/>
    <col min="11084" max="11084" customWidth="1" width="9.140625"/>
    <col min="11085" max="11085" customWidth="1" width="9.140625"/>
    <col min="11086" max="11086" customWidth="1" width="9.140625"/>
    <col min="11087" max="11087" customWidth="1" width="9.140625"/>
    <col min="11088" max="11088" customWidth="1" width="9.140625"/>
    <col min="11089" max="11089" customWidth="1" width="9.140625"/>
    <col min="11090" max="11090" customWidth="1" width="9.140625"/>
    <col min="11091" max="11091" customWidth="1" width="9.140625"/>
    <col min="11092" max="11092" customWidth="1" width="9.140625"/>
    <col min="11093" max="11093" customWidth="1" width="9.140625"/>
    <col min="11094" max="11094" customWidth="1" width="9.140625"/>
    <col min="11095" max="11095" customWidth="1" width="9.140625"/>
    <col min="11096" max="11096" customWidth="1" width="9.140625"/>
    <col min="11097" max="11097" customWidth="1" width="9.140625"/>
    <col min="11098" max="11098" customWidth="1" width="9.140625"/>
    <col min="11099" max="11099" customWidth="1" width="9.140625"/>
    <col min="11100" max="11100" customWidth="1" width="9.140625"/>
    <col min="11101" max="11101" customWidth="1" width="9.140625"/>
    <col min="11102" max="11102" customWidth="1" width="9.140625"/>
    <col min="11103" max="11103" customWidth="1" width="9.140625"/>
    <col min="11104" max="11104" customWidth="1" width="9.140625"/>
    <col min="11105" max="11105" customWidth="1" width="9.140625"/>
    <col min="11106" max="11106" customWidth="1" width="9.140625"/>
    <col min="11107" max="11107" customWidth="1" width="9.140625"/>
    <col min="11108" max="11108" customWidth="1" width="9.140625"/>
    <col min="11109" max="11109" customWidth="1" width="9.140625"/>
    <col min="11110" max="11110" customWidth="1" width="9.140625"/>
    <col min="11111" max="11111" customWidth="1" width="9.140625"/>
    <col min="11112" max="11112" customWidth="1" width="9.140625"/>
    <col min="11113" max="11113" customWidth="1" width="9.140625"/>
    <col min="11114" max="11114" customWidth="1" width="9.140625"/>
    <col min="11115" max="11115" customWidth="1" width="9.140625"/>
    <col min="11116" max="11116" customWidth="1" width="9.140625"/>
    <col min="11117" max="11117" customWidth="1" width="9.140625"/>
    <col min="11118" max="11118" customWidth="1" width="9.140625"/>
    <col min="11119" max="11119" customWidth="1" width="9.140625"/>
    <col min="11120" max="11120" customWidth="1" width="9.140625"/>
    <col min="11121" max="11121" customWidth="1" width="9.140625"/>
    <col min="11122" max="11122" customWidth="1" width="9.140625"/>
    <col min="11123" max="11123" customWidth="1" width="9.140625"/>
    <col min="11124" max="11124" customWidth="1" width="9.140625"/>
    <col min="11125" max="11125" customWidth="1" width="9.140625"/>
    <col min="11126" max="11126" customWidth="1" width="9.140625"/>
    <col min="11127" max="11127" customWidth="1" width="9.140625"/>
    <col min="11128" max="11128" customWidth="1" width="9.140625"/>
    <col min="11129" max="11129" customWidth="1" width="9.140625"/>
    <col min="11130" max="11130" customWidth="1" width="9.140625"/>
    <col min="11131" max="11131" customWidth="1" width="9.140625"/>
    <col min="11132" max="11132" customWidth="1" width="9.140625"/>
    <col min="11133" max="11133" customWidth="1" width="9.140625"/>
    <col min="11134" max="11134" customWidth="1" width="9.140625"/>
    <col min="11135" max="11135" customWidth="1" width="9.140625"/>
    <col min="11136" max="11136" customWidth="1" width="9.140625"/>
    <col min="11137" max="11137" customWidth="1" width="9.140625"/>
    <col min="11138" max="11138" customWidth="1" width="9.140625"/>
    <col min="11139" max="11139" customWidth="1" width="9.140625"/>
    <col min="11140" max="11140" customWidth="1" width="9.140625"/>
    <col min="11141" max="11141" customWidth="1" width="9.140625"/>
    <col min="11142" max="11142" customWidth="1" width="9.140625"/>
    <col min="11143" max="11143" customWidth="1" width="9.140625"/>
    <col min="11144" max="11144" customWidth="1" width="9.140625"/>
    <col min="11145" max="11145" customWidth="1" width="9.140625"/>
    <col min="11146" max="11146" customWidth="1" width="9.140625"/>
    <col min="11147" max="11147" customWidth="1" width="9.140625"/>
    <col min="11148" max="11148" customWidth="1" width="9.140625"/>
    <col min="11149" max="11149" customWidth="1" width="9.140625"/>
    <col min="11150" max="11150" customWidth="1" width="9.140625"/>
    <col min="11151" max="11151" customWidth="1" width="9.140625"/>
    <col min="11152" max="11152" customWidth="1" width="9.140625"/>
    <col min="11153" max="11153" customWidth="1" width="9.140625"/>
    <col min="11154" max="11154" customWidth="1" width="9.140625"/>
    <col min="11155" max="11155" customWidth="1" width="9.140625"/>
    <col min="11156" max="11156" customWidth="1" width="9.140625"/>
    <col min="11157" max="11157" customWidth="1" width="9.140625"/>
    <col min="11158" max="11158" customWidth="1" width="9.140625"/>
    <col min="11159" max="11159" customWidth="1" width="9.140625"/>
    <col min="11160" max="11160" customWidth="1" width="9.140625"/>
    <col min="11161" max="11161" customWidth="1" width="9.140625"/>
    <col min="11162" max="11162" customWidth="1" width="9.140625"/>
    <col min="11163" max="11163" customWidth="1" width="9.140625"/>
    <col min="11164" max="11164" customWidth="1" width="9.140625"/>
    <col min="11165" max="11165" customWidth="1" width="9.140625"/>
    <col min="11166" max="11166" customWidth="1" width="9.140625"/>
    <col min="11167" max="11167" customWidth="1" width="9.140625"/>
    <col min="11168" max="11168" customWidth="1" width="9.140625"/>
    <col min="11169" max="11169" customWidth="1" width="9.140625"/>
    <col min="11170" max="11170" customWidth="1" width="9.140625"/>
    <col min="11171" max="11171" customWidth="1" width="9.140625"/>
    <col min="11172" max="11172" customWidth="1" width="9.140625"/>
    <col min="11173" max="11173" customWidth="1" width="9.140625"/>
    <col min="11174" max="11174" customWidth="1" width="9.140625"/>
    <col min="11175" max="11175" customWidth="1" width="9.140625"/>
    <col min="11176" max="11176" customWidth="1" width="9.140625"/>
    <col min="11177" max="11177" customWidth="1" width="9.140625"/>
    <col min="11178" max="11178" customWidth="1" width="9.140625"/>
    <col min="11179" max="11179" customWidth="1" width="9.140625"/>
    <col min="11180" max="11180" customWidth="1" width="9.140625"/>
    <col min="11181" max="11181" customWidth="1" width="9.140625"/>
    <col min="11182" max="11182" customWidth="1" width="9.140625"/>
    <col min="11183" max="11183" customWidth="1" width="9.140625"/>
    <col min="11184" max="11184" customWidth="1" width="9.140625"/>
    <col min="11185" max="11185" customWidth="1" width="9.140625"/>
    <col min="11186" max="11186" customWidth="1" width="9.140625"/>
    <col min="11187" max="11187" customWidth="1" width="9.140625"/>
    <col min="11188" max="11188" customWidth="1" width="9.140625"/>
    <col min="11189" max="11189" customWidth="1" width="9.140625"/>
    <col min="11190" max="11190" customWidth="1" width="9.140625"/>
    <col min="11191" max="11191" customWidth="1" width="9.140625"/>
    <col min="11192" max="11192" customWidth="1" width="9.140625"/>
    <col min="11193" max="11193" customWidth="1" width="9.140625"/>
    <col min="11194" max="11194" customWidth="1" width="9.140625"/>
    <col min="11195" max="11195" customWidth="1" width="9.140625"/>
    <col min="11196" max="11196" customWidth="1" width="9.140625"/>
    <col min="11197" max="11197" customWidth="1" width="9.140625"/>
    <col min="11198" max="11198" customWidth="1" width="9.140625"/>
    <col min="11199" max="11199" customWidth="1" width="9.140625"/>
    <col min="11200" max="11200" customWidth="1" width="9.140625"/>
    <col min="11201" max="11201" customWidth="1" width="9.140625"/>
    <col min="11202" max="11202" customWidth="1" width="9.140625"/>
    <col min="11203" max="11203" customWidth="1" width="9.140625"/>
    <col min="11204" max="11204" customWidth="1" width="9.140625"/>
    <col min="11205" max="11205" customWidth="1" width="9.140625"/>
    <col min="11206" max="11206" customWidth="1" width="9.140625"/>
    <col min="11207" max="11207" customWidth="1" width="9.140625"/>
    <col min="11208" max="11208" customWidth="1" width="9.140625"/>
    <col min="11209" max="11209" customWidth="1" width="9.140625"/>
    <col min="11210" max="11210" customWidth="1" width="9.140625"/>
    <col min="11211" max="11211" customWidth="1" width="9.140625"/>
    <col min="11212" max="11212" customWidth="1" width="9.140625"/>
    <col min="11213" max="11213" customWidth="1" width="9.140625"/>
    <col min="11214" max="11214" customWidth="1" width="9.140625"/>
    <col min="11215" max="11215" customWidth="1" width="9.140625"/>
    <col min="11216" max="11216" customWidth="1" width="9.140625"/>
    <col min="11217" max="11217" customWidth="1" width="9.140625"/>
    <col min="11218" max="11218" customWidth="1" width="9.140625"/>
    <col min="11219" max="11219" customWidth="1" width="9.140625"/>
    <col min="11220" max="11220" customWidth="1" width="9.140625"/>
    <col min="11221" max="11221" customWidth="1" width="9.140625"/>
    <col min="11222" max="11222" customWidth="1" width="9.140625"/>
    <col min="11223" max="11223" customWidth="1" width="9.140625"/>
    <col min="11224" max="11224" customWidth="1" width="9.140625"/>
    <col min="11225" max="11225" customWidth="1" width="9.140625"/>
    <col min="11226" max="11226" customWidth="1" width="9.140625"/>
    <col min="11227" max="11227" customWidth="1" width="9.140625"/>
    <col min="11228" max="11228" customWidth="1" width="9.140625"/>
    <col min="11229" max="11229" customWidth="1" width="9.140625"/>
    <col min="11230" max="11230" customWidth="1" width="9.140625"/>
    <col min="11231" max="11231" customWidth="1" width="9.140625"/>
    <col min="11232" max="11232" customWidth="1" width="9.140625"/>
    <col min="11233" max="11233" customWidth="1" width="9.140625"/>
    <col min="11234" max="11234" customWidth="1" width="9.140625"/>
    <col min="11235" max="11235" customWidth="1" width="9.140625"/>
    <col min="11236" max="11236" customWidth="1" width="9.140625"/>
    <col min="11237" max="11237" customWidth="1" width="9.140625"/>
    <col min="11238" max="11238" customWidth="1" width="9.140625"/>
    <col min="11239" max="11239" customWidth="1" width="9.140625"/>
    <col min="11240" max="11240" customWidth="1" width="9.140625"/>
    <col min="11241" max="11241" customWidth="1" width="9.140625"/>
    <col min="11242" max="11242" customWidth="1" width="9.140625"/>
    <col min="11243" max="11243" customWidth="1" width="9.140625"/>
    <col min="11244" max="11244" customWidth="1" width="9.140625"/>
    <col min="11245" max="11245" customWidth="1" width="9.140625"/>
    <col min="11246" max="11246" customWidth="1" width="9.140625"/>
    <col min="11247" max="11247" customWidth="1" width="9.140625"/>
    <col min="11248" max="11248" customWidth="1" width="9.140625"/>
    <col min="11249" max="11249" customWidth="1" width="9.140625"/>
    <col min="11250" max="11250" customWidth="1" width="9.140625"/>
    <col min="11251" max="11251" customWidth="1" width="9.140625"/>
    <col min="11252" max="11252" customWidth="1" width="9.140625"/>
    <col min="11253" max="11253" customWidth="1" width="9.140625"/>
    <col min="11254" max="11254" customWidth="1" width="9.140625"/>
    <col min="11255" max="11255" customWidth="1" width="9.140625"/>
    <col min="11256" max="11256" customWidth="1" width="9.140625"/>
    <col min="11257" max="11257" customWidth="1" width="9.140625"/>
    <col min="11258" max="11258" customWidth="1" width="9.140625"/>
    <col min="11259" max="11259" customWidth="1" width="9.140625"/>
    <col min="11260" max="11260" customWidth="1" width="9.140625"/>
    <col min="11261" max="11261" customWidth="1" width="9.140625"/>
    <col min="11262" max="11262" customWidth="1" width="9.140625"/>
    <col min="11263" max="11263" customWidth="1" width="9.140625"/>
    <col min="11264" max="11264" customWidth="1" width="9.140625"/>
    <col min="11265" max="11265" customWidth="1" width="9.140625"/>
    <col min="11266" max="11266" customWidth="1" width="9.140625"/>
    <col min="11267" max="11267" customWidth="1" width="9.140625"/>
    <col min="11268" max="11268" customWidth="1" width="9.140625"/>
    <col min="11269" max="11269" customWidth="1" width="9.140625"/>
    <col min="11270" max="11270" customWidth="1" width="9.140625"/>
    <col min="11271" max="11271" customWidth="1" width="9.140625"/>
    <col min="11272" max="11272" customWidth="1" width="9.140625"/>
    <col min="11273" max="11273" customWidth="1" width="9.140625"/>
    <col min="11274" max="11274" customWidth="1" width="9.140625"/>
    <col min="11275" max="11275" customWidth="1" width="9.140625"/>
    <col min="11276" max="11276" customWidth="1" width="9.140625"/>
    <col min="11277" max="11277" customWidth="1" width="9.140625"/>
    <col min="11278" max="11278" customWidth="1" width="9.140625"/>
    <col min="11279" max="11279" customWidth="1" width="9.140625"/>
    <col min="11280" max="11280" customWidth="1" width="9.140625"/>
    <col min="11281" max="11281" customWidth="1" width="9.140625"/>
    <col min="11282" max="11282" customWidth="1" width="9.140625"/>
    <col min="11283" max="11283" customWidth="1" width="9.140625"/>
    <col min="11284" max="11284" customWidth="1" width="9.140625"/>
    <col min="11285" max="11285" customWidth="1" width="9.140625"/>
    <col min="11286" max="11286" customWidth="1" width="9.140625"/>
    <col min="11287" max="11287" customWidth="1" width="9.140625"/>
    <col min="11288" max="11288" customWidth="1" width="9.140625"/>
    <col min="11289" max="11289" customWidth="1" width="9.140625"/>
    <col min="11290" max="11290" customWidth="1" width="9.140625"/>
    <col min="11291" max="11291" customWidth="1" width="9.140625"/>
    <col min="11292" max="11292" customWidth="1" width="9.140625"/>
    <col min="11293" max="11293" customWidth="1" width="9.140625"/>
    <col min="11294" max="11294" customWidth="1" width="9.140625"/>
    <col min="11295" max="11295" customWidth="1" width="9.140625"/>
    <col min="11296" max="11296" customWidth="1" width="9.140625"/>
    <col min="11297" max="11297" customWidth="1" width="9.140625"/>
    <col min="11298" max="11298" customWidth="1" width="9.140625"/>
    <col min="11299" max="11299" customWidth="1" width="9.140625"/>
    <col min="11300" max="11300" customWidth="1" width="9.140625"/>
    <col min="11301" max="11301" customWidth="1" width="9.140625"/>
    <col min="11302" max="11302" customWidth="1" width="9.140625"/>
    <col min="11303" max="11303" customWidth="1" width="9.140625"/>
    <col min="11304" max="11304" customWidth="1" width="9.140625"/>
    <col min="11305" max="11305" customWidth="1" width="9.140625"/>
    <col min="11306" max="11306" customWidth="1" width="9.140625"/>
    <col min="11307" max="11307" customWidth="1" width="9.140625"/>
    <col min="11308" max="11308" customWidth="1" width="9.140625"/>
    <col min="11309" max="11309" customWidth="1" width="9.140625"/>
    <col min="11310" max="11310" customWidth="1" width="9.140625"/>
    <col min="11311" max="11311" customWidth="1" width="9.140625"/>
    <col min="11312" max="11312" customWidth="1" width="9.140625"/>
    <col min="11313" max="11313" customWidth="1" width="9.140625"/>
    <col min="11314" max="11314" customWidth="1" width="9.140625"/>
    <col min="11315" max="11315" customWidth="1" width="9.140625"/>
    <col min="11316" max="11316" customWidth="1" width="9.140625"/>
    <col min="11317" max="11317" customWidth="1" width="9.140625"/>
    <col min="11318" max="11318" customWidth="1" width="9.140625"/>
    <col min="11319" max="11319" customWidth="1" width="9.140625"/>
    <col min="11320" max="11320" customWidth="1" width="9.140625"/>
    <col min="11321" max="11321" customWidth="1" width="9.140625"/>
    <col min="11322" max="11322" customWidth="1" width="9.140625"/>
    <col min="11323" max="11323" customWidth="1" width="9.140625"/>
    <col min="11324" max="11324" customWidth="1" width="9.140625"/>
    <col min="11325" max="11325" customWidth="1" width="9.140625"/>
    <col min="11326" max="11326" customWidth="1" width="9.140625"/>
    <col min="11327" max="11327" customWidth="1" width="9.140625"/>
    <col min="11328" max="11328" customWidth="1" width="9.140625"/>
    <col min="11329" max="11329" customWidth="1" width="9.140625"/>
    <col min="11330" max="11330" customWidth="1" width="9.140625"/>
    <col min="11331" max="11331" customWidth="1" width="9.140625"/>
    <col min="11332" max="11332" customWidth="1" width="9.140625"/>
    <col min="11333" max="11333" customWidth="1" width="9.140625"/>
    <col min="11334" max="11334" customWidth="1" width="9.140625"/>
    <col min="11335" max="11335" customWidth="1" width="9.140625"/>
    <col min="11336" max="11336" customWidth="1" width="9.140625"/>
    <col min="11337" max="11337" customWidth="1" width="9.140625"/>
    <col min="11338" max="11338" customWidth="1" width="9.140625"/>
    <col min="11339" max="11339" customWidth="1" width="9.140625"/>
    <col min="11340" max="11340" customWidth="1" width="9.140625"/>
    <col min="11341" max="11341" customWidth="1" width="9.140625"/>
    <col min="11342" max="11342" customWidth="1" width="9.140625"/>
    <col min="11343" max="11343" customWidth="1" width="9.140625"/>
    <col min="11344" max="11344" customWidth="1" width="9.140625"/>
    <col min="11345" max="11345" customWidth="1" width="9.140625"/>
    <col min="11346" max="11346" customWidth="1" width="9.140625"/>
    <col min="11347" max="11347" customWidth="1" width="9.140625"/>
    <col min="11348" max="11348" customWidth="1" width="9.140625"/>
    <col min="11349" max="11349" customWidth="1" width="9.140625"/>
    <col min="11350" max="11350" customWidth="1" width="9.140625"/>
    <col min="11351" max="11351" customWidth="1" width="9.140625"/>
    <col min="11352" max="11352" customWidth="1" width="9.140625"/>
    <col min="11353" max="11353" customWidth="1" width="9.140625"/>
    <col min="11354" max="11354" customWidth="1" width="9.140625"/>
    <col min="11355" max="11355" customWidth="1" width="9.140625"/>
    <col min="11356" max="11356" customWidth="1" width="9.140625"/>
    <col min="11357" max="11357" customWidth="1" width="9.140625"/>
    <col min="11358" max="11358" customWidth="1" width="9.140625"/>
    <col min="11359" max="11359" customWidth="1" width="9.140625"/>
    <col min="11360" max="11360" customWidth="1" width="9.140625"/>
    <col min="11361" max="11361" customWidth="1" width="9.140625"/>
    <col min="11362" max="11362" customWidth="1" width="9.140625"/>
    <col min="11363" max="11363" customWidth="1" width="9.140625"/>
    <col min="11364" max="11364" customWidth="1" width="9.140625"/>
    <col min="11365" max="11365" customWidth="1" width="9.140625"/>
    <col min="11366" max="11366" customWidth="1" width="9.140625"/>
    <col min="11367" max="11367" customWidth="1" width="9.140625"/>
    <col min="11368" max="11368" customWidth="1" width="9.140625"/>
    <col min="11369" max="11369" customWidth="1" width="9.140625"/>
    <col min="11370" max="11370" customWidth="1" width="9.140625"/>
    <col min="11371" max="11371" customWidth="1" width="9.140625"/>
    <col min="11372" max="11372" customWidth="1" width="9.140625"/>
    <col min="11373" max="11373" customWidth="1" width="9.140625"/>
    <col min="11374" max="11374" customWidth="1" width="9.140625"/>
    <col min="11375" max="11375" customWidth="1" width="9.140625"/>
    <col min="11376" max="11376" customWidth="1" width="9.140625"/>
    <col min="11377" max="11377" customWidth="1" width="9.140625"/>
    <col min="11378" max="11378" customWidth="1" width="9.140625"/>
    <col min="11379" max="11379" customWidth="1" width="9.140625"/>
    <col min="11380" max="11380" customWidth="1" width="9.140625"/>
    <col min="11381" max="11381" customWidth="1" width="9.140625"/>
    <col min="11382" max="11382" customWidth="1" width="9.140625"/>
    <col min="11383" max="11383" customWidth="1" width="9.140625"/>
    <col min="11384" max="11384" customWidth="1" width="9.140625"/>
    <col min="11385" max="11385" customWidth="1" width="9.140625"/>
    <col min="11386" max="11386" customWidth="1" width="9.140625"/>
    <col min="11387" max="11387" customWidth="1" width="9.140625"/>
    <col min="11388" max="11388" customWidth="1" width="9.140625"/>
    <col min="11389" max="11389" customWidth="1" width="9.140625"/>
    <col min="11390" max="11390" customWidth="1" width="9.140625"/>
    <col min="11391" max="11391" customWidth="1" width="9.140625"/>
    <col min="11392" max="11392" customWidth="1" width="9.140625"/>
    <col min="11393" max="11393" customWidth="1" width="9.140625"/>
    <col min="11394" max="11394" customWidth="1" width="9.140625"/>
    <col min="11395" max="11395" customWidth="1" width="9.140625"/>
    <col min="11396" max="11396" customWidth="1" width="9.140625"/>
    <col min="11397" max="11397" customWidth="1" width="9.140625"/>
    <col min="11398" max="11398" customWidth="1" width="9.140625"/>
    <col min="11399" max="11399" customWidth="1" width="9.140625"/>
    <col min="11400" max="11400" customWidth="1" width="9.140625"/>
    <col min="11401" max="11401" customWidth="1" width="9.140625"/>
    <col min="11402" max="11402" customWidth="1" width="9.140625"/>
    <col min="11403" max="11403" customWidth="1" width="9.140625"/>
    <col min="11404" max="11404" customWidth="1" width="9.140625"/>
    <col min="11405" max="11405" customWidth="1" width="9.140625"/>
    <col min="11406" max="11406" customWidth="1" width="9.140625"/>
    <col min="11407" max="11407" customWidth="1" width="9.140625"/>
    <col min="11408" max="11408" customWidth="1" width="9.140625"/>
    <col min="11409" max="11409" customWidth="1" width="9.140625"/>
    <col min="11410" max="11410" customWidth="1" width="9.140625"/>
    <col min="11411" max="11411" customWidth="1" width="9.140625"/>
    <col min="11412" max="11412" customWidth="1" width="9.140625"/>
    <col min="11413" max="11413" customWidth="1" width="9.140625"/>
    <col min="11414" max="11414" customWidth="1" width="9.140625"/>
    <col min="11415" max="11415" customWidth="1" width="9.140625"/>
    <col min="11416" max="11416" customWidth="1" width="9.140625"/>
    <col min="11417" max="11417" customWidth="1" width="9.140625"/>
    <col min="11418" max="11418" customWidth="1" width="9.140625"/>
    <col min="11419" max="11419" customWidth="1" width="9.140625"/>
    <col min="11420" max="11420" customWidth="1" width="9.140625"/>
    <col min="11421" max="11421" customWidth="1" width="9.140625"/>
    <col min="11422" max="11422" customWidth="1" width="9.140625"/>
    <col min="11423" max="11423" customWidth="1" width="9.140625"/>
    <col min="11424" max="11424" customWidth="1" width="9.140625"/>
    <col min="11425" max="11425" customWidth="1" width="9.140625"/>
    <col min="11426" max="11426" customWidth="1" width="9.140625"/>
    <col min="11427" max="11427" customWidth="1" width="9.140625"/>
    <col min="11428" max="11428" customWidth="1" width="9.140625"/>
    <col min="11429" max="11429" customWidth="1" width="9.140625"/>
    <col min="11430" max="11430" customWidth="1" width="9.140625"/>
    <col min="11431" max="11431" customWidth="1" width="9.140625"/>
    <col min="11432" max="11432" customWidth="1" width="9.140625"/>
    <col min="11433" max="11433" customWidth="1" width="9.140625"/>
    <col min="11434" max="11434" customWidth="1" width="9.140625"/>
    <col min="11435" max="11435" customWidth="1" width="9.140625"/>
    <col min="11436" max="11436" customWidth="1" width="9.140625"/>
    <col min="11437" max="11437" customWidth="1" width="9.140625"/>
    <col min="11438" max="11438" customWidth="1" width="9.140625"/>
    <col min="11439" max="11439" customWidth="1" width="9.140625"/>
    <col min="11440" max="11440" customWidth="1" width="9.140625"/>
    <col min="11441" max="11441" customWidth="1" width="9.140625"/>
    <col min="11442" max="11442" customWidth="1" width="9.140625"/>
    <col min="11443" max="11443" customWidth="1" width="9.140625"/>
    <col min="11444" max="11444" customWidth="1" width="9.140625"/>
    <col min="11445" max="11445" customWidth="1" width="9.140625"/>
    <col min="11446" max="11446" customWidth="1" width="9.140625"/>
    <col min="11447" max="11447" customWidth="1" width="9.140625"/>
    <col min="11448" max="11448" customWidth="1" width="9.140625"/>
    <col min="11449" max="11449" customWidth="1" width="9.140625"/>
    <col min="11450" max="11450" customWidth="1" width="9.140625"/>
    <col min="11451" max="11451" customWidth="1" width="9.140625"/>
    <col min="11452" max="11452" customWidth="1" width="9.140625"/>
    <col min="11453" max="11453" customWidth="1" width="9.140625"/>
    <col min="11454" max="11454" customWidth="1" width="9.140625"/>
    <col min="11455" max="11455" customWidth="1" width="9.140625"/>
    <col min="11456" max="11456" customWidth="1" width="9.140625"/>
    <col min="11457" max="11457" customWidth="1" width="9.140625"/>
    <col min="11458" max="11458" customWidth="1" width="9.140625"/>
    <col min="11459" max="11459" customWidth="1" width="9.140625"/>
    <col min="11460" max="11460" customWidth="1" width="9.140625"/>
    <col min="11461" max="11461" customWidth="1" width="9.140625"/>
    <col min="11462" max="11462" customWidth="1" width="9.140625"/>
    <col min="11463" max="11463" customWidth="1" width="9.140625"/>
    <col min="11464" max="11464" customWidth="1" width="9.140625"/>
    <col min="11465" max="11465" customWidth="1" width="9.140625"/>
    <col min="11466" max="11466" customWidth="1" width="9.140625"/>
    <col min="11467" max="11467" customWidth="1" width="9.140625"/>
    <col min="11468" max="11468" customWidth="1" width="9.140625"/>
    <col min="11469" max="11469" customWidth="1" width="9.140625"/>
    <col min="11470" max="11470" customWidth="1" width="9.140625"/>
    <col min="11471" max="11471" customWidth="1" width="9.140625"/>
    <col min="11472" max="11472" customWidth="1" width="9.140625"/>
    <col min="11473" max="11473" customWidth="1" width="9.140625"/>
    <col min="11474" max="11474" customWidth="1" width="9.140625"/>
    <col min="11475" max="11475" customWidth="1" width="9.140625"/>
    <col min="11476" max="11476" customWidth="1" width="9.140625"/>
    <col min="11477" max="11477" customWidth="1" width="9.140625"/>
    <col min="11478" max="11478" customWidth="1" width="9.140625"/>
    <col min="11479" max="11479" customWidth="1" width="9.140625"/>
    <col min="11480" max="11480" customWidth="1" width="9.140625"/>
    <col min="11481" max="11481" customWidth="1" width="9.140625"/>
    <col min="11482" max="11482" customWidth="1" width="9.140625"/>
    <col min="11483" max="11483" customWidth="1" width="9.140625"/>
    <col min="11484" max="11484" customWidth="1" width="9.140625"/>
    <col min="11485" max="11485" customWidth="1" width="9.140625"/>
    <col min="11486" max="11486" customWidth="1" width="9.140625"/>
    <col min="11487" max="11487" customWidth="1" width="9.140625"/>
    <col min="11488" max="11488" customWidth="1" width="9.140625"/>
    <col min="11489" max="11489" customWidth="1" width="9.140625"/>
    <col min="11490" max="11490" customWidth="1" width="9.140625"/>
    <col min="11491" max="11491" customWidth="1" width="9.140625"/>
    <col min="11492" max="11492" customWidth="1" width="9.140625"/>
    <col min="11493" max="11493" customWidth="1" width="9.140625"/>
    <col min="11494" max="11494" customWidth="1" width="9.140625"/>
    <col min="11495" max="11495" customWidth="1" width="9.140625"/>
    <col min="11496" max="11496" customWidth="1" width="9.140625"/>
    <col min="11497" max="11497" customWidth="1" width="9.140625"/>
    <col min="11498" max="11498" customWidth="1" width="9.140625"/>
    <col min="11499" max="11499" customWidth="1" width="9.140625"/>
    <col min="11500" max="11500" customWidth="1" width="9.140625"/>
    <col min="11501" max="11501" customWidth="1" width="9.140625"/>
    <col min="11502" max="11502" customWidth="1" width="9.140625"/>
    <col min="11503" max="11503" customWidth="1" width="9.140625"/>
    <col min="11504" max="11504" customWidth="1" width="9.140625"/>
    <col min="11505" max="11505" customWidth="1" width="9.140625"/>
    <col min="11506" max="11506" customWidth="1" width="9.140625"/>
    <col min="11507" max="11507" customWidth="1" width="9.140625"/>
    <col min="11508" max="11508" customWidth="1" width="9.140625"/>
    <col min="11509" max="11509" customWidth="1" width="9.140625"/>
    <col min="11510" max="11510" customWidth="1" width="9.140625"/>
    <col min="11511" max="11511" customWidth="1" width="9.140625"/>
    <col min="11512" max="11512" customWidth="1" width="9.140625"/>
    <col min="11513" max="11513" customWidth="1" width="9.140625"/>
    <col min="11514" max="11514" customWidth="1" width="9.140625"/>
    <col min="11515" max="11515" customWidth="1" width="9.140625"/>
    <col min="11516" max="11516" customWidth="1" width="9.140625"/>
    <col min="11517" max="11517" customWidth="1" width="9.140625"/>
    <col min="11518" max="11518" customWidth="1" width="9.140625"/>
    <col min="11519" max="11519" customWidth="1" width="9.140625"/>
    <col min="11520" max="11520" customWidth="1" width="9.140625"/>
    <col min="11521" max="11521" customWidth="1" width="9.140625"/>
    <col min="11522" max="11522" customWidth="1" width="9.140625"/>
    <col min="11523" max="11523" customWidth="1" width="9.140625"/>
    <col min="11524" max="11524" customWidth="1" width="9.140625"/>
    <col min="11525" max="11525" customWidth="1" width="9.140625"/>
    <col min="11526" max="11526" customWidth="1" width="9.140625"/>
    <col min="11527" max="11527" customWidth="1" width="9.140625"/>
    <col min="11528" max="11528" customWidth="1" width="9.140625"/>
    <col min="11529" max="11529" customWidth="1" width="9.140625"/>
    <col min="11530" max="11530" customWidth="1" width="9.140625"/>
    <col min="11531" max="11531" customWidth="1" width="9.140625"/>
    <col min="11532" max="11532" customWidth="1" width="9.140625"/>
    <col min="11533" max="11533" customWidth="1" width="9.140625"/>
    <col min="11534" max="11534" customWidth="1" width="9.140625"/>
    <col min="11535" max="11535" customWidth="1" width="9.140625"/>
    <col min="11536" max="11536" customWidth="1" width="9.140625"/>
    <col min="11537" max="11537" customWidth="1" width="9.140625"/>
    <col min="11538" max="11538" customWidth="1" width="9.140625"/>
    <col min="11539" max="11539" customWidth="1" width="9.140625"/>
    <col min="11540" max="11540" customWidth="1" width="9.140625"/>
    <col min="11541" max="11541" customWidth="1" width="9.140625"/>
    <col min="11542" max="11542" customWidth="1" width="9.140625"/>
    <col min="11543" max="11543" customWidth="1" width="9.140625"/>
    <col min="11544" max="11544" customWidth="1" width="9.140625"/>
    <col min="11545" max="11545" customWidth="1" width="9.140625"/>
    <col min="11546" max="11546" customWidth="1" width="9.140625"/>
    <col min="11547" max="11547" customWidth="1" width="9.140625"/>
    <col min="11548" max="11548" customWidth="1" width="9.140625"/>
    <col min="11549" max="11549" customWidth="1" width="9.140625"/>
    <col min="11550" max="11550" customWidth="1" width="9.140625"/>
    <col min="11551" max="11551" customWidth="1" width="9.140625"/>
    <col min="11552" max="11552" customWidth="1" width="9.140625"/>
    <col min="11553" max="11553" customWidth="1" width="9.140625"/>
    <col min="11554" max="11554" customWidth="1" width="9.140625"/>
    <col min="11555" max="11555" customWidth="1" width="9.140625"/>
    <col min="11556" max="11556" customWidth="1" width="9.140625"/>
    <col min="11557" max="11557" customWidth="1" width="9.140625"/>
    <col min="11558" max="11558" customWidth="1" width="9.140625"/>
    <col min="11559" max="11559" customWidth="1" width="9.140625"/>
    <col min="11560" max="11560" customWidth="1" width="9.140625"/>
    <col min="11561" max="11561" customWidth="1" width="9.140625"/>
    <col min="11562" max="11562" customWidth="1" width="9.140625"/>
    <col min="11563" max="11563" customWidth="1" width="9.140625"/>
    <col min="11564" max="11564" customWidth="1" width="9.140625"/>
    <col min="11565" max="11565" customWidth="1" width="9.140625"/>
    <col min="11566" max="11566" customWidth="1" width="9.140625"/>
    <col min="11567" max="11567" customWidth="1" width="9.140625"/>
    <col min="11568" max="11568" customWidth="1" width="9.140625"/>
    <col min="11569" max="11569" customWidth="1" width="9.140625"/>
    <col min="11570" max="11570" customWidth="1" width="9.140625"/>
    <col min="11571" max="11571" customWidth="1" width="9.140625"/>
    <col min="11572" max="11572" customWidth="1" width="9.140625"/>
    <col min="11573" max="11573" customWidth="1" width="9.140625"/>
    <col min="11574" max="11574" customWidth="1" width="9.140625"/>
    <col min="11575" max="11575" customWidth="1" width="9.140625"/>
    <col min="11576" max="11576" customWidth="1" width="9.140625"/>
    <col min="11577" max="11577" customWidth="1" width="9.140625"/>
    <col min="11578" max="11578" customWidth="1" width="9.140625"/>
    <col min="11579" max="11579" customWidth="1" width="9.140625"/>
    <col min="11580" max="11580" customWidth="1" width="9.140625"/>
    <col min="11581" max="11581" customWidth="1" width="9.140625"/>
    <col min="11582" max="11582" customWidth="1" width="9.140625"/>
    <col min="11583" max="11583" customWidth="1" width="9.140625"/>
    <col min="11584" max="11584" customWidth="1" width="9.140625"/>
    <col min="11585" max="11585" customWidth="1" width="9.140625"/>
    <col min="11586" max="11586" customWidth="1" width="9.140625"/>
    <col min="11587" max="11587" customWidth="1" width="9.140625"/>
    <col min="11588" max="11588" customWidth="1" width="9.140625"/>
    <col min="11589" max="11589" customWidth="1" width="9.140625"/>
    <col min="11590" max="11590" customWidth="1" width="9.140625"/>
    <col min="11591" max="11591" customWidth="1" width="9.140625"/>
    <col min="11592" max="11592" customWidth="1" width="9.140625"/>
    <col min="11593" max="11593" customWidth="1" width="9.140625"/>
    <col min="11594" max="11594" customWidth="1" width="9.140625"/>
    <col min="11595" max="11595" customWidth="1" width="9.140625"/>
    <col min="11596" max="11596" customWidth="1" width="9.140625"/>
    <col min="11597" max="11597" customWidth="1" width="9.140625"/>
    <col min="11598" max="11598" customWidth="1" width="9.140625"/>
    <col min="11599" max="11599" customWidth="1" width="9.140625"/>
    <col min="11600" max="11600" customWidth="1" width="9.140625"/>
    <col min="11601" max="11601" customWidth="1" width="9.140625"/>
    <col min="11602" max="11602" customWidth="1" width="9.140625"/>
    <col min="11603" max="11603" customWidth="1" width="9.140625"/>
    <col min="11604" max="11604" customWidth="1" width="9.140625"/>
    <col min="11605" max="11605" customWidth="1" width="9.140625"/>
    <col min="11606" max="11606" customWidth="1" width="9.140625"/>
    <col min="11607" max="11607" customWidth="1" width="9.140625"/>
    <col min="11608" max="11608" customWidth="1" width="9.140625"/>
    <col min="11609" max="11609" customWidth="1" width="9.140625"/>
    <col min="11610" max="11610" customWidth="1" width="9.140625"/>
    <col min="11611" max="11611" customWidth="1" width="9.140625"/>
    <col min="11612" max="11612" customWidth="1" width="9.140625"/>
    <col min="11613" max="11613" customWidth="1" width="9.140625"/>
    <col min="11614" max="11614" customWidth="1" width="9.140625"/>
    <col min="11615" max="11615" customWidth="1" width="9.140625"/>
    <col min="11616" max="11616" customWidth="1" width="9.140625"/>
    <col min="11617" max="11617" customWidth="1" width="9.140625"/>
    <col min="11618" max="11618" customWidth="1" width="9.140625"/>
    <col min="11619" max="11619" customWidth="1" width="9.140625"/>
    <col min="11620" max="11620" customWidth="1" width="9.140625"/>
    <col min="11621" max="11621" customWidth="1" width="9.140625"/>
    <col min="11622" max="11622" customWidth="1" width="9.140625"/>
    <col min="11623" max="11623" customWidth="1" width="9.140625"/>
    <col min="11624" max="11624" customWidth="1" width="9.140625"/>
    <col min="11625" max="11625" customWidth="1" width="9.140625"/>
    <col min="11626" max="11626" customWidth="1" width="9.140625"/>
    <col min="11627" max="11627" customWidth="1" width="9.140625"/>
    <col min="11628" max="11628" customWidth="1" width="9.140625"/>
    <col min="11629" max="11629" customWidth="1" width="9.140625"/>
    <col min="11630" max="11630" customWidth="1" width="9.140625"/>
    <col min="11631" max="11631" customWidth="1" width="9.140625"/>
    <col min="11632" max="11632" customWidth="1" width="9.140625"/>
    <col min="11633" max="11633" customWidth="1" width="9.140625"/>
    <col min="11634" max="11634" customWidth="1" width="9.140625"/>
    <col min="11635" max="11635" customWidth="1" width="9.140625"/>
    <col min="11636" max="11636" customWidth="1" width="9.140625"/>
    <col min="11637" max="11637" customWidth="1" width="9.140625"/>
    <col min="11638" max="11638" customWidth="1" width="9.140625"/>
    <col min="11639" max="11639" customWidth="1" width="9.140625"/>
    <col min="11640" max="11640" customWidth="1" width="9.140625"/>
    <col min="11641" max="11641" customWidth="1" width="9.140625"/>
    <col min="11642" max="11642" customWidth="1" width="9.140625"/>
    <col min="11643" max="11643" customWidth="1" width="9.140625"/>
    <col min="11644" max="11644" customWidth="1" width="9.140625"/>
    <col min="11645" max="11645" customWidth="1" width="9.140625"/>
    <col min="11646" max="11646" customWidth="1" width="9.140625"/>
    <col min="11647" max="11647" customWidth="1" width="9.140625"/>
    <col min="11648" max="11648" customWidth="1" width="9.140625"/>
    <col min="11649" max="11649" customWidth="1" width="9.140625"/>
    <col min="11650" max="11650" customWidth="1" width="9.140625"/>
    <col min="11651" max="11651" customWidth="1" width="9.140625"/>
    <col min="11652" max="11652" customWidth="1" width="9.140625"/>
    <col min="11653" max="11653" customWidth="1" width="9.140625"/>
    <col min="11654" max="11654" customWidth="1" width="9.140625"/>
    <col min="11655" max="11655" customWidth="1" width="9.140625"/>
    <col min="11656" max="11656" customWidth="1" width="9.140625"/>
    <col min="11657" max="11657" customWidth="1" width="9.140625"/>
    <col min="11658" max="11658" customWidth="1" width="9.140625"/>
    <col min="11659" max="11659" customWidth="1" width="9.140625"/>
    <col min="11660" max="11660" customWidth="1" width="9.140625"/>
    <col min="11661" max="11661" customWidth="1" width="9.140625"/>
    <col min="11662" max="11662" customWidth="1" width="9.140625"/>
    <col min="11663" max="11663" customWidth="1" width="9.140625"/>
    <col min="11664" max="11664" customWidth="1" width="9.140625"/>
    <col min="11665" max="11665" customWidth="1" width="9.140625"/>
    <col min="11666" max="11666" customWidth="1" width="9.140625"/>
    <col min="11667" max="11667" customWidth="1" width="9.140625"/>
    <col min="11668" max="11668" customWidth="1" width="9.140625"/>
    <col min="11669" max="11669" customWidth="1" width="9.140625"/>
    <col min="11670" max="11670" customWidth="1" width="9.140625"/>
    <col min="11671" max="11671" customWidth="1" width="9.140625"/>
    <col min="11672" max="11672" customWidth="1" width="9.140625"/>
    <col min="11673" max="11673" customWidth="1" width="9.140625"/>
    <col min="11674" max="11674" customWidth="1" width="9.140625"/>
    <col min="11675" max="11675" customWidth="1" width="9.140625"/>
    <col min="11676" max="11676" customWidth="1" width="9.140625"/>
    <col min="11677" max="11677" customWidth="1" width="9.140625"/>
    <col min="11678" max="11678" customWidth="1" width="9.140625"/>
    <col min="11679" max="11679" customWidth="1" width="9.140625"/>
    <col min="11680" max="11680" customWidth="1" width="9.140625"/>
    <col min="11681" max="11681" customWidth="1" width="9.140625"/>
    <col min="11682" max="11682" customWidth="1" width="9.140625"/>
    <col min="11683" max="11683" customWidth="1" width="9.140625"/>
    <col min="11684" max="11684" customWidth="1" width="9.140625"/>
    <col min="11685" max="11685" customWidth="1" width="9.140625"/>
    <col min="11686" max="11686" customWidth="1" width="9.140625"/>
    <col min="11687" max="11687" customWidth="1" width="9.140625"/>
    <col min="11688" max="11688" customWidth="1" width="9.140625"/>
    <col min="11689" max="11689" customWidth="1" width="9.140625"/>
    <col min="11690" max="11690" customWidth="1" width="9.140625"/>
    <col min="11691" max="11691" customWidth="1" width="9.140625"/>
    <col min="11692" max="11692" customWidth="1" width="9.140625"/>
    <col min="11693" max="11693" customWidth="1" width="9.140625"/>
    <col min="11694" max="11694" customWidth="1" width="9.140625"/>
    <col min="11695" max="11695" customWidth="1" width="9.140625"/>
    <col min="11696" max="11696" customWidth="1" width="9.140625"/>
    <col min="11697" max="11697" customWidth="1" width="9.140625"/>
    <col min="11698" max="11698" customWidth="1" width="9.140625"/>
    <col min="11699" max="11699" customWidth="1" width="9.140625"/>
    <col min="11700" max="11700" customWidth="1" width="9.140625"/>
    <col min="11701" max="11701" customWidth="1" width="9.140625"/>
    <col min="11702" max="11702" customWidth="1" width="9.140625"/>
    <col min="11703" max="11703" customWidth="1" width="9.140625"/>
    <col min="11704" max="11704" customWidth="1" width="9.140625"/>
    <col min="11705" max="11705" customWidth="1" width="9.140625"/>
    <col min="11706" max="11706" customWidth="1" width="9.140625"/>
    <col min="11707" max="11707" customWidth="1" width="9.140625"/>
    <col min="11708" max="11708" customWidth="1" width="9.140625"/>
    <col min="11709" max="11709" customWidth="1" width="9.140625"/>
    <col min="11710" max="11710" customWidth="1" width="9.140625"/>
    <col min="11711" max="11711" customWidth="1" width="9.140625"/>
    <col min="11712" max="11712" customWidth="1" width="9.140625"/>
    <col min="11713" max="11713" customWidth="1" width="9.140625"/>
    <col min="11714" max="11714" customWidth="1" width="9.140625"/>
    <col min="11715" max="11715" customWidth="1" width="9.140625"/>
    <col min="11716" max="11716" customWidth="1" width="9.140625"/>
    <col min="11717" max="11717" customWidth="1" width="9.140625"/>
    <col min="11718" max="11718" customWidth="1" width="9.140625"/>
    <col min="11719" max="11719" customWidth="1" width="9.140625"/>
    <col min="11720" max="11720" customWidth="1" width="9.140625"/>
    <col min="11721" max="11721" customWidth="1" width="9.140625"/>
    <col min="11722" max="11722" customWidth="1" width="9.140625"/>
    <col min="11723" max="11723" customWidth="1" width="9.140625"/>
    <col min="11724" max="11724" customWidth="1" width="9.140625"/>
    <col min="11725" max="11725" customWidth="1" width="9.140625"/>
    <col min="11726" max="11726" customWidth="1" width="9.140625"/>
    <col min="11727" max="11727" customWidth="1" width="9.140625"/>
    <col min="11728" max="11728" customWidth="1" width="9.140625"/>
    <col min="11729" max="11729" customWidth="1" width="9.140625"/>
    <col min="11730" max="11730" customWidth="1" width="9.140625"/>
    <col min="11731" max="11731" customWidth="1" width="9.140625"/>
    <col min="11732" max="11732" customWidth="1" width="9.140625"/>
    <col min="11733" max="11733" customWidth="1" width="9.140625"/>
    <col min="11734" max="11734" customWidth="1" width="9.140625"/>
    <col min="11735" max="11735" customWidth="1" width="9.140625"/>
    <col min="11736" max="11736" customWidth="1" width="9.140625"/>
    <col min="11737" max="11737" customWidth="1" width="9.140625"/>
    <col min="11738" max="11738" customWidth="1" width="9.140625"/>
    <col min="11739" max="11739" customWidth="1" width="9.140625"/>
    <col min="11740" max="11740" customWidth="1" width="9.140625"/>
    <col min="11741" max="11741" customWidth="1" width="9.140625"/>
    <col min="11742" max="11742" customWidth="1" width="9.140625"/>
    <col min="11743" max="11743" customWidth="1" width="9.140625"/>
    <col min="11744" max="11744" customWidth="1" width="9.140625"/>
    <col min="11745" max="11745" customWidth="1" width="9.140625"/>
    <col min="11746" max="11746" customWidth="1" width="9.140625"/>
    <col min="11747" max="11747" customWidth="1" width="9.140625"/>
    <col min="11748" max="11748" customWidth="1" width="9.140625"/>
    <col min="11749" max="11749" customWidth="1" width="9.140625"/>
    <col min="11750" max="11750" customWidth="1" width="9.140625"/>
    <col min="11751" max="11751" customWidth="1" width="9.140625"/>
    <col min="11752" max="11752" customWidth="1" width="9.140625"/>
    <col min="11753" max="11753" customWidth="1" width="9.140625"/>
    <col min="11754" max="11754" customWidth="1" width="9.140625"/>
    <col min="11755" max="11755" customWidth="1" width="9.140625"/>
    <col min="11756" max="11756" customWidth="1" width="9.140625"/>
    <col min="11757" max="11757" customWidth="1" width="9.140625"/>
    <col min="11758" max="11758" customWidth="1" width="9.140625"/>
    <col min="11759" max="11759" customWidth="1" width="9.140625"/>
    <col min="11760" max="11760" customWidth="1" width="9.140625"/>
    <col min="11761" max="11761" customWidth="1" width="9.140625"/>
    <col min="11762" max="11762" customWidth="1" width="9.140625"/>
    <col min="11763" max="11763" customWidth="1" width="9.140625"/>
    <col min="11764" max="11764" customWidth="1" width="9.140625"/>
    <col min="11765" max="11765" customWidth="1" width="9.140625"/>
    <col min="11766" max="11766" customWidth="1" width="9.140625"/>
    <col min="11767" max="11767" customWidth="1" width="9.140625"/>
    <col min="11768" max="11768" customWidth="1" width="9.140625"/>
    <col min="11769" max="11769" customWidth="1" width="9.140625"/>
    <col min="11770" max="11770" customWidth="1" width="9.140625"/>
    <col min="11771" max="11771" customWidth="1" width="9.140625"/>
    <col min="11772" max="11772" customWidth="1" width="9.140625"/>
    <col min="11773" max="11773" customWidth="1" width="9.140625"/>
    <col min="11774" max="11774" customWidth="1" width="9.140625"/>
    <col min="11775" max="11775" customWidth="1" width="9.140625"/>
    <col min="11776" max="11776" customWidth="1" width="9.140625"/>
    <col min="11777" max="11777" customWidth="1" width="9.140625"/>
    <col min="11778" max="11778" customWidth="1" width="9.140625"/>
    <col min="11779" max="11779" customWidth="1" width="9.140625"/>
    <col min="11780" max="11780" customWidth="1" width="9.140625"/>
    <col min="11781" max="11781" customWidth="1" width="9.140625"/>
    <col min="11782" max="11782" customWidth="1" width="9.140625"/>
    <col min="11783" max="11783" customWidth="1" width="9.140625"/>
    <col min="11784" max="11784" customWidth="1" width="9.140625"/>
    <col min="11785" max="11785" customWidth="1" width="9.140625"/>
    <col min="11786" max="11786" customWidth="1" width="9.140625"/>
    <col min="11787" max="11787" customWidth="1" width="9.140625"/>
    <col min="11788" max="11788" customWidth="1" width="9.140625"/>
    <col min="11789" max="11789" customWidth="1" width="9.140625"/>
    <col min="11790" max="11790" customWidth="1" width="9.140625"/>
    <col min="11791" max="11791" customWidth="1" width="9.140625"/>
    <col min="11792" max="11792" customWidth="1" width="9.140625"/>
    <col min="11793" max="11793" customWidth="1" width="9.140625"/>
    <col min="11794" max="11794" customWidth="1" width="9.140625"/>
    <col min="11795" max="11795" customWidth="1" width="9.140625"/>
    <col min="11796" max="11796" customWidth="1" width="9.140625"/>
    <col min="11797" max="11797" customWidth="1" width="9.140625"/>
    <col min="11798" max="11798" customWidth="1" width="9.140625"/>
    <col min="11799" max="11799" customWidth="1" width="9.140625"/>
    <col min="11800" max="11800" customWidth="1" width="9.140625"/>
    <col min="11801" max="11801" customWidth="1" width="9.140625"/>
    <col min="11802" max="11802" customWidth="1" width="9.140625"/>
    <col min="11803" max="11803" customWidth="1" width="9.140625"/>
    <col min="11804" max="11804" customWidth="1" width="9.140625"/>
    <col min="11805" max="11805" customWidth="1" width="9.140625"/>
    <col min="11806" max="11806" customWidth="1" width="9.140625"/>
    <col min="11807" max="11807" customWidth="1" width="9.140625"/>
    <col min="11808" max="11808" customWidth="1" width="9.140625"/>
    <col min="11809" max="11809" customWidth="1" width="9.140625"/>
    <col min="11810" max="11810" customWidth="1" width="9.140625"/>
    <col min="11811" max="11811" customWidth="1" width="9.140625"/>
    <col min="11812" max="11812" customWidth="1" width="9.140625"/>
    <col min="11813" max="11813" customWidth="1" width="9.140625"/>
    <col min="11814" max="11814" customWidth="1" width="9.140625"/>
    <col min="11815" max="11815" customWidth="1" width="9.140625"/>
    <col min="11816" max="11816" customWidth="1" width="9.140625"/>
    <col min="11817" max="11817" customWidth="1" width="9.140625"/>
    <col min="11818" max="11818" customWidth="1" width="9.140625"/>
    <col min="11819" max="11819" customWidth="1" width="9.140625"/>
    <col min="11820" max="11820" customWidth="1" width="9.140625"/>
    <col min="11821" max="11821" customWidth="1" width="9.140625"/>
    <col min="11822" max="11822" customWidth="1" width="9.140625"/>
    <col min="11823" max="11823" customWidth="1" width="9.140625"/>
    <col min="11824" max="11824" customWidth="1" width="9.140625"/>
    <col min="11825" max="11825" customWidth="1" width="9.140625"/>
    <col min="11826" max="11826" customWidth="1" width="9.140625"/>
    <col min="11827" max="11827" customWidth="1" width="9.140625"/>
    <col min="11828" max="11828" customWidth="1" width="9.140625"/>
    <col min="11829" max="11829" customWidth="1" width="9.140625"/>
    <col min="11830" max="11830" customWidth="1" width="9.140625"/>
    <col min="11831" max="11831" customWidth="1" width="9.140625"/>
    <col min="11832" max="11832" customWidth="1" width="9.140625"/>
    <col min="11833" max="11833" customWidth="1" width="9.140625"/>
    <col min="11834" max="11834" customWidth="1" width="9.140625"/>
    <col min="11835" max="11835" customWidth="1" width="9.140625"/>
    <col min="11836" max="11836" customWidth="1" width="9.140625"/>
    <col min="11837" max="11837" customWidth="1" width="9.140625"/>
    <col min="11838" max="11838" customWidth="1" width="9.140625"/>
    <col min="11839" max="11839" customWidth="1" width="9.140625"/>
    <col min="11840" max="11840" customWidth="1" width="9.140625"/>
    <col min="11841" max="11841" customWidth="1" width="9.140625"/>
    <col min="11842" max="11842" customWidth="1" width="9.140625"/>
    <col min="11843" max="11843" customWidth="1" width="9.140625"/>
    <col min="11844" max="11844" customWidth="1" width="9.140625"/>
    <col min="11845" max="11845" customWidth="1" width="9.140625"/>
    <col min="11846" max="11846" customWidth="1" width="9.140625"/>
    <col min="11847" max="11847" customWidth="1" width="9.140625"/>
    <col min="11848" max="11848" customWidth="1" width="9.140625"/>
    <col min="11849" max="11849" customWidth="1" width="9.140625"/>
    <col min="11850" max="11850" customWidth="1" width="9.140625"/>
    <col min="11851" max="11851" customWidth="1" width="9.140625"/>
    <col min="11852" max="11852" customWidth="1" width="9.140625"/>
    <col min="11853" max="11853" customWidth="1" width="9.140625"/>
    <col min="11854" max="11854" customWidth="1" width="9.140625"/>
    <col min="11855" max="11855" customWidth="1" width="9.140625"/>
    <col min="11856" max="11856" customWidth="1" width="9.140625"/>
    <col min="11857" max="11857" customWidth="1" width="9.140625"/>
    <col min="11858" max="11858" customWidth="1" width="9.140625"/>
    <col min="11859" max="11859" customWidth="1" width="9.140625"/>
    <col min="11860" max="11860" customWidth="1" width="9.140625"/>
    <col min="11861" max="11861" customWidth="1" width="9.140625"/>
    <col min="11862" max="11862" customWidth="1" width="9.140625"/>
    <col min="11863" max="11863" customWidth="1" width="9.140625"/>
    <col min="11864" max="11864" customWidth="1" width="9.140625"/>
    <col min="11865" max="11865" customWidth="1" width="9.140625"/>
    <col min="11866" max="11866" customWidth="1" width="9.140625"/>
    <col min="11867" max="11867" customWidth="1" width="9.140625"/>
    <col min="11868" max="11868" customWidth="1" width="9.140625"/>
    <col min="11869" max="11869" customWidth="1" width="9.140625"/>
    <col min="11870" max="11870" customWidth="1" width="9.140625"/>
    <col min="11871" max="11871" customWidth="1" width="9.140625"/>
    <col min="11872" max="11872" customWidth="1" width="9.140625"/>
    <col min="11873" max="11873" customWidth="1" width="9.140625"/>
    <col min="11874" max="11874" customWidth="1" width="9.140625"/>
    <col min="11875" max="11875" customWidth="1" width="9.140625"/>
    <col min="11876" max="11876" customWidth="1" width="9.140625"/>
    <col min="11877" max="11877" customWidth="1" width="9.140625"/>
    <col min="11878" max="11878" customWidth="1" width="9.140625"/>
    <col min="11879" max="11879" customWidth="1" width="9.140625"/>
    <col min="11880" max="11880" customWidth="1" width="9.140625"/>
    <col min="11881" max="11881" customWidth="1" width="9.140625"/>
    <col min="11882" max="11882" customWidth="1" width="9.140625"/>
    <col min="11883" max="11883" customWidth="1" width="9.140625"/>
    <col min="11884" max="11884" customWidth="1" width="9.140625"/>
    <col min="11885" max="11885" customWidth="1" width="9.140625"/>
    <col min="11886" max="11886" customWidth="1" width="9.140625"/>
    <col min="11887" max="11887" customWidth="1" width="9.140625"/>
    <col min="11888" max="11888" customWidth="1" width="9.140625"/>
    <col min="11889" max="11889" customWidth="1" width="9.140625"/>
    <col min="11890" max="11890" customWidth="1" width="9.140625"/>
    <col min="11891" max="11891" customWidth="1" width="9.140625"/>
    <col min="11892" max="11892" customWidth="1" width="9.140625"/>
    <col min="11893" max="11893" customWidth="1" width="9.140625"/>
    <col min="11894" max="11894" customWidth="1" width="9.140625"/>
    <col min="11895" max="11895" customWidth="1" width="9.140625"/>
    <col min="11896" max="11896" customWidth="1" width="9.140625"/>
    <col min="11897" max="11897" customWidth="1" width="9.140625"/>
    <col min="11898" max="11898" customWidth="1" width="9.140625"/>
    <col min="11899" max="11899" customWidth="1" width="9.140625"/>
    <col min="11900" max="11900" customWidth="1" width="9.140625"/>
    <col min="11901" max="11901" customWidth="1" width="9.140625"/>
    <col min="11902" max="11902" customWidth="1" width="9.140625"/>
    <col min="11903" max="11903" customWidth="1" width="9.140625"/>
    <col min="11904" max="11904" customWidth="1" width="9.140625"/>
    <col min="11905" max="11905" customWidth="1" width="9.140625"/>
    <col min="11906" max="11906" customWidth="1" width="9.140625"/>
    <col min="11907" max="11907" customWidth="1" width="9.140625"/>
    <col min="11908" max="11908" customWidth="1" width="9.140625"/>
    <col min="11909" max="11909" customWidth="1" width="9.140625"/>
    <col min="11910" max="11910" customWidth="1" width="9.140625"/>
    <col min="11911" max="11911" customWidth="1" width="9.140625"/>
    <col min="11912" max="11912" customWidth="1" width="9.140625"/>
    <col min="11913" max="11913" customWidth="1" width="9.140625"/>
    <col min="11914" max="11914" customWidth="1" width="9.140625"/>
    <col min="11915" max="11915" customWidth="1" width="9.140625"/>
    <col min="11916" max="11916" customWidth="1" width="9.140625"/>
    <col min="11917" max="11917" customWidth="1" width="9.140625"/>
    <col min="11918" max="11918" customWidth="1" width="9.140625"/>
    <col min="11919" max="11919" customWidth="1" width="9.140625"/>
    <col min="11920" max="11920" customWidth="1" width="9.140625"/>
    <col min="11921" max="11921" customWidth="1" width="9.140625"/>
    <col min="11922" max="11922" customWidth="1" width="9.140625"/>
    <col min="11923" max="11923" customWidth="1" width="9.140625"/>
    <col min="11924" max="11924" customWidth="1" width="9.140625"/>
    <col min="11925" max="11925" customWidth="1" width="9.140625"/>
    <col min="11926" max="11926" customWidth="1" width="9.140625"/>
    <col min="11927" max="11927" customWidth="1" width="9.140625"/>
    <col min="11928" max="11928" customWidth="1" width="9.140625"/>
    <col min="11929" max="11929" customWidth="1" width="9.140625"/>
    <col min="11930" max="11930" customWidth="1" width="9.140625"/>
    <col min="11931" max="11931" customWidth="1" width="9.140625"/>
    <col min="11932" max="11932" customWidth="1" width="9.140625"/>
    <col min="11933" max="11933" customWidth="1" width="9.140625"/>
    <col min="11934" max="11934" customWidth="1" width="9.140625"/>
    <col min="11935" max="11935" customWidth="1" width="9.140625"/>
    <col min="11936" max="11936" customWidth="1" width="9.140625"/>
    <col min="11937" max="11937" customWidth="1" width="9.140625"/>
    <col min="11938" max="11938" customWidth="1" width="9.140625"/>
    <col min="11939" max="11939" customWidth="1" width="9.140625"/>
    <col min="11940" max="11940" customWidth="1" width="9.140625"/>
    <col min="11941" max="11941" customWidth="1" width="9.140625"/>
    <col min="11942" max="11942" customWidth="1" width="9.140625"/>
    <col min="11943" max="11943" customWidth="1" width="9.140625"/>
    <col min="11944" max="11944" customWidth="1" width="9.140625"/>
    <col min="11945" max="11945" customWidth="1" width="9.140625"/>
    <col min="11946" max="11946" customWidth="1" width="9.140625"/>
    <col min="11947" max="11947" customWidth="1" width="9.140625"/>
    <col min="11948" max="11948" customWidth="1" width="9.140625"/>
    <col min="11949" max="11949" customWidth="1" width="9.140625"/>
    <col min="11950" max="11950" customWidth="1" width="9.140625"/>
    <col min="11951" max="11951" customWidth="1" width="9.140625"/>
    <col min="11952" max="11952" customWidth="1" width="9.140625"/>
    <col min="11953" max="11953" customWidth="1" width="9.140625"/>
    <col min="11954" max="11954" customWidth="1" width="9.140625"/>
    <col min="11955" max="11955" customWidth="1" width="9.140625"/>
    <col min="11956" max="11956" customWidth="1" width="9.140625"/>
    <col min="11957" max="11957" customWidth="1" width="9.140625"/>
    <col min="11958" max="11958" customWidth="1" width="9.140625"/>
    <col min="11959" max="11959" customWidth="1" width="9.140625"/>
    <col min="11960" max="11960" customWidth="1" width="9.140625"/>
    <col min="11961" max="11961" customWidth="1" width="9.140625"/>
    <col min="11962" max="11962" customWidth="1" width="9.140625"/>
    <col min="11963" max="11963" customWidth="1" width="9.140625"/>
    <col min="11964" max="11964" customWidth="1" width="9.140625"/>
    <col min="11965" max="11965" customWidth="1" width="9.140625"/>
    <col min="11966" max="11966" customWidth="1" width="9.140625"/>
    <col min="11967" max="11967" customWidth="1" width="9.140625"/>
    <col min="11968" max="11968" customWidth="1" width="9.140625"/>
    <col min="11969" max="11969" customWidth="1" width="9.140625"/>
    <col min="11970" max="11970" customWidth="1" width="9.140625"/>
    <col min="11971" max="11971" customWidth="1" width="9.140625"/>
    <col min="11972" max="11972" customWidth="1" width="9.140625"/>
    <col min="11973" max="11973" customWidth="1" width="9.140625"/>
    <col min="11974" max="11974" customWidth="1" width="9.140625"/>
    <col min="11975" max="11975" customWidth="1" width="9.140625"/>
    <col min="11976" max="11976" customWidth="1" width="9.140625"/>
    <col min="11977" max="11977" customWidth="1" width="9.140625"/>
    <col min="11978" max="11978" customWidth="1" width="9.140625"/>
    <col min="11979" max="11979" customWidth="1" width="9.140625"/>
    <col min="11980" max="11980" customWidth="1" width="9.140625"/>
    <col min="11981" max="11981" customWidth="1" width="9.140625"/>
    <col min="11982" max="11982" customWidth="1" width="9.140625"/>
    <col min="11983" max="11983" customWidth="1" width="9.140625"/>
    <col min="11984" max="11984" customWidth="1" width="9.140625"/>
    <col min="11985" max="11985" customWidth="1" width="9.140625"/>
    <col min="11986" max="11986" customWidth="1" width="9.140625"/>
    <col min="11987" max="11987" customWidth="1" width="9.140625"/>
    <col min="11988" max="11988" customWidth="1" width="9.140625"/>
    <col min="11989" max="11989" customWidth="1" width="9.140625"/>
    <col min="11990" max="11990" customWidth="1" width="9.140625"/>
    <col min="11991" max="11991" customWidth="1" width="9.140625"/>
    <col min="11992" max="11992" customWidth="1" width="9.140625"/>
    <col min="11993" max="11993" customWidth="1" width="9.140625"/>
    <col min="11994" max="11994" customWidth="1" width="9.140625"/>
    <col min="11995" max="11995" customWidth="1" width="9.140625"/>
    <col min="11996" max="11996" customWidth="1" width="9.140625"/>
    <col min="11997" max="11997" customWidth="1" width="9.140625"/>
    <col min="11998" max="11998" customWidth="1" width="9.140625"/>
    <col min="11999" max="11999" customWidth="1" width="9.140625"/>
    <col min="12000" max="12000" customWidth="1" width="9.140625"/>
    <col min="12001" max="12001" customWidth="1" width="9.140625"/>
    <col min="12002" max="12002" customWidth="1" width="9.140625"/>
    <col min="12003" max="12003" customWidth="1" width="9.140625"/>
    <col min="12004" max="12004" customWidth="1" width="9.140625"/>
    <col min="12005" max="12005" customWidth="1" width="9.140625"/>
    <col min="12006" max="12006" customWidth="1" width="9.140625"/>
    <col min="12007" max="12007" customWidth="1" width="9.140625"/>
    <col min="12008" max="12008" customWidth="1" width="9.140625"/>
    <col min="12009" max="12009" customWidth="1" width="9.140625"/>
    <col min="12010" max="12010" customWidth="1" width="9.140625"/>
    <col min="12011" max="12011" customWidth="1" width="9.140625"/>
    <col min="12012" max="12012" customWidth="1" width="9.140625"/>
    <col min="12013" max="12013" customWidth="1" width="9.140625"/>
    <col min="12014" max="12014" customWidth="1" width="9.140625"/>
    <col min="12015" max="12015" customWidth="1" width="9.140625"/>
    <col min="12016" max="12016" customWidth="1" width="9.140625"/>
    <col min="12017" max="12017" customWidth="1" width="9.140625"/>
    <col min="12018" max="12018" customWidth="1" width="9.140625"/>
    <col min="12019" max="12019" customWidth="1" width="9.140625"/>
    <col min="12020" max="12020" customWidth="1" width="9.140625"/>
    <col min="12021" max="12021" customWidth="1" width="9.140625"/>
    <col min="12022" max="12022" customWidth="1" width="9.140625"/>
    <col min="12023" max="12023" customWidth="1" width="9.140625"/>
    <col min="12024" max="12024" customWidth="1" width="9.140625"/>
    <col min="12025" max="12025" customWidth="1" width="9.140625"/>
    <col min="12026" max="12026" customWidth="1" width="9.140625"/>
    <col min="12027" max="12027" customWidth="1" width="9.140625"/>
    <col min="12028" max="12028" customWidth="1" width="9.140625"/>
    <col min="12029" max="12029" customWidth="1" width="9.140625"/>
    <col min="12030" max="12030" customWidth="1" width="9.140625"/>
    <col min="12031" max="12031" customWidth="1" width="9.140625"/>
    <col min="12032" max="12032" customWidth="1" width="9.140625"/>
    <col min="12033" max="12033" customWidth="1" width="9.140625"/>
    <col min="12034" max="12034" customWidth="1" width="9.140625"/>
    <col min="12035" max="12035" customWidth="1" width="9.140625"/>
    <col min="12036" max="12036" customWidth="1" width="9.140625"/>
    <col min="12037" max="12037" customWidth="1" width="9.140625"/>
    <col min="12038" max="12038" customWidth="1" width="9.140625"/>
    <col min="12039" max="12039" customWidth="1" width="9.140625"/>
    <col min="12040" max="12040" customWidth="1" width="9.140625"/>
    <col min="12041" max="12041" customWidth="1" width="9.140625"/>
    <col min="12042" max="12042" customWidth="1" width="9.140625"/>
    <col min="12043" max="12043" customWidth="1" width="9.140625"/>
    <col min="12044" max="12044" customWidth="1" width="9.140625"/>
    <col min="12045" max="12045" customWidth="1" width="9.140625"/>
    <col min="12046" max="12046" customWidth="1" width="9.140625"/>
    <col min="12047" max="12047" customWidth="1" width="9.140625"/>
    <col min="12048" max="12048" customWidth="1" width="9.140625"/>
    <col min="12049" max="12049" customWidth="1" width="9.140625"/>
    <col min="12050" max="12050" customWidth="1" width="9.140625"/>
    <col min="12051" max="12051" customWidth="1" width="9.140625"/>
    <col min="12052" max="12052" customWidth="1" width="9.140625"/>
    <col min="12053" max="12053" customWidth="1" width="9.140625"/>
    <col min="12054" max="12054" customWidth="1" width="9.140625"/>
    <col min="12055" max="12055" customWidth="1" width="9.140625"/>
    <col min="12056" max="12056" customWidth="1" width="9.140625"/>
    <col min="12057" max="12057" customWidth="1" width="9.140625"/>
    <col min="12058" max="12058" customWidth="1" width="9.140625"/>
    <col min="12059" max="12059" customWidth="1" width="9.140625"/>
    <col min="12060" max="12060" customWidth="1" width="9.140625"/>
    <col min="12061" max="12061" customWidth="1" width="9.140625"/>
    <col min="12062" max="12062" customWidth="1" width="9.140625"/>
    <col min="12063" max="12063" customWidth="1" width="9.140625"/>
    <col min="12064" max="12064" customWidth="1" width="9.140625"/>
    <col min="12065" max="12065" customWidth="1" width="9.140625"/>
    <col min="12066" max="12066" customWidth="1" width="9.140625"/>
    <col min="12067" max="12067" customWidth="1" width="9.140625"/>
    <col min="12068" max="12068" customWidth="1" width="9.140625"/>
    <col min="12069" max="12069" customWidth="1" width="9.140625"/>
    <col min="12070" max="12070" customWidth="1" width="9.140625"/>
    <col min="12071" max="12071" customWidth="1" width="9.140625"/>
    <col min="12072" max="12072" customWidth="1" width="9.140625"/>
    <col min="12073" max="12073" customWidth="1" width="9.140625"/>
    <col min="12074" max="12074" customWidth="1" width="9.140625"/>
    <col min="12075" max="12075" customWidth="1" width="9.140625"/>
    <col min="12076" max="12076" customWidth="1" width="9.140625"/>
    <col min="12077" max="12077" customWidth="1" width="9.140625"/>
    <col min="12078" max="12078" customWidth="1" width="9.140625"/>
    <col min="12079" max="12079" customWidth="1" width="9.140625"/>
    <col min="12080" max="12080" customWidth="1" width="9.140625"/>
    <col min="12081" max="12081" customWidth="1" width="9.140625"/>
    <col min="12082" max="12082" customWidth="1" width="9.140625"/>
    <col min="12083" max="12083" customWidth="1" width="9.140625"/>
    <col min="12084" max="12084" customWidth="1" width="9.140625"/>
    <col min="12085" max="12085" customWidth="1" width="9.140625"/>
    <col min="12086" max="12086" customWidth="1" width="9.140625"/>
    <col min="12087" max="12087" customWidth="1" width="9.140625"/>
    <col min="12088" max="12088" customWidth="1" width="9.140625"/>
    <col min="12089" max="12089" customWidth="1" width="9.140625"/>
    <col min="12090" max="12090" customWidth="1" width="9.140625"/>
    <col min="12091" max="12091" customWidth="1" width="9.140625"/>
    <col min="12092" max="12092" customWidth="1" width="9.140625"/>
    <col min="12093" max="12093" customWidth="1" width="9.140625"/>
    <col min="12094" max="12094" customWidth="1" width="9.140625"/>
    <col min="12095" max="12095" customWidth="1" width="9.140625"/>
    <col min="12096" max="12096" customWidth="1" width="9.140625"/>
    <col min="12097" max="12097" customWidth="1" width="9.140625"/>
    <col min="12098" max="12098" customWidth="1" width="9.140625"/>
    <col min="12099" max="12099" customWidth="1" width="9.140625"/>
    <col min="12100" max="12100" customWidth="1" width="9.140625"/>
    <col min="12101" max="12101" customWidth="1" width="9.140625"/>
    <col min="12102" max="12102" customWidth="1" width="9.140625"/>
    <col min="12103" max="12103" customWidth="1" width="9.140625"/>
    <col min="12104" max="12104" customWidth="1" width="9.140625"/>
    <col min="12105" max="12105" customWidth="1" width="9.140625"/>
    <col min="12106" max="12106" customWidth="1" width="9.140625"/>
    <col min="12107" max="12107" customWidth="1" width="9.140625"/>
    <col min="12108" max="12108" customWidth="1" width="9.140625"/>
    <col min="12109" max="12109" customWidth="1" width="9.140625"/>
    <col min="12110" max="12110" customWidth="1" width="9.140625"/>
    <col min="12111" max="12111" customWidth="1" width="9.140625"/>
    <col min="12112" max="12112" customWidth="1" width="9.140625"/>
    <col min="12113" max="12113" customWidth="1" width="9.140625"/>
    <col min="12114" max="12114" customWidth="1" width="9.140625"/>
    <col min="12115" max="12115" customWidth="1" width="9.140625"/>
    <col min="12116" max="12116" customWidth="1" width="9.140625"/>
    <col min="12117" max="12117" customWidth="1" width="9.140625"/>
    <col min="12118" max="12118" customWidth="1" width="9.140625"/>
    <col min="12119" max="12119" customWidth="1" width="9.140625"/>
    <col min="12120" max="12120" customWidth="1" width="9.140625"/>
    <col min="12121" max="12121" customWidth="1" width="9.140625"/>
    <col min="12122" max="12122" customWidth="1" width="9.140625"/>
    <col min="12123" max="12123" customWidth="1" width="9.140625"/>
    <col min="12124" max="12124" customWidth="1" width="9.140625"/>
    <col min="12125" max="12125" customWidth="1" width="9.140625"/>
    <col min="12126" max="12126" customWidth="1" width="9.140625"/>
    <col min="12127" max="12127" customWidth="1" width="9.140625"/>
    <col min="12128" max="12128" customWidth="1" width="9.140625"/>
    <col min="12129" max="12129" customWidth="1" width="9.140625"/>
    <col min="12130" max="12130" customWidth="1" width="9.140625"/>
    <col min="12131" max="12131" customWidth="1" width="9.140625"/>
    <col min="12132" max="12132" customWidth="1" width="9.140625"/>
    <col min="12133" max="12133" customWidth="1" width="9.140625"/>
    <col min="12134" max="12134" customWidth="1" width="9.140625"/>
    <col min="12135" max="12135" customWidth="1" width="9.140625"/>
    <col min="12136" max="12136" customWidth="1" width="9.140625"/>
    <col min="12137" max="12137" customWidth="1" width="9.140625"/>
    <col min="12138" max="12138" customWidth="1" width="9.140625"/>
    <col min="12139" max="12139" customWidth="1" width="9.140625"/>
    <col min="12140" max="12140" customWidth="1" width="9.140625"/>
    <col min="12141" max="12141" customWidth="1" width="9.140625"/>
    <col min="12142" max="12142" customWidth="1" width="9.140625"/>
    <col min="12143" max="12143" customWidth="1" width="9.140625"/>
    <col min="12144" max="12144" customWidth="1" width="9.140625"/>
    <col min="12145" max="12145" customWidth="1" width="9.140625"/>
    <col min="12146" max="12146" customWidth="1" width="9.140625"/>
    <col min="12147" max="12147" customWidth="1" width="9.140625"/>
    <col min="12148" max="12148" customWidth="1" width="9.140625"/>
    <col min="12149" max="12149" customWidth="1" width="9.140625"/>
    <col min="12150" max="12150" customWidth="1" width="9.140625"/>
    <col min="12151" max="12151" customWidth="1" width="9.140625"/>
    <col min="12152" max="12152" customWidth="1" width="9.140625"/>
    <col min="12153" max="12153" customWidth="1" width="9.140625"/>
    <col min="12154" max="12154" customWidth="1" width="9.140625"/>
    <col min="12155" max="12155" customWidth="1" width="9.140625"/>
    <col min="12156" max="12156" customWidth="1" width="9.140625"/>
    <col min="12157" max="12157" customWidth="1" width="9.140625"/>
    <col min="12158" max="12158" customWidth="1" width="9.140625"/>
    <col min="12159" max="12159" customWidth="1" width="9.140625"/>
    <col min="12160" max="12160" customWidth="1" width="9.140625"/>
    <col min="12161" max="12161" customWidth="1" width="9.140625"/>
    <col min="12162" max="12162" customWidth="1" width="9.140625"/>
    <col min="12163" max="12163" customWidth="1" width="9.140625"/>
    <col min="12164" max="12164" customWidth="1" width="9.140625"/>
    <col min="12165" max="12165" customWidth="1" width="9.140625"/>
    <col min="12166" max="12166" customWidth="1" width="9.140625"/>
    <col min="12167" max="12167" customWidth="1" width="9.140625"/>
    <col min="12168" max="12168" customWidth="1" width="9.140625"/>
    <col min="12169" max="12169" customWidth="1" width="9.140625"/>
    <col min="12170" max="12170" customWidth="1" width="9.140625"/>
    <col min="12171" max="12171" customWidth="1" width="9.140625"/>
    <col min="12172" max="12172" customWidth="1" width="9.140625"/>
    <col min="12173" max="12173" customWidth="1" width="9.140625"/>
    <col min="12174" max="12174" customWidth="1" width="9.140625"/>
    <col min="12175" max="12175" customWidth="1" width="9.140625"/>
    <col min="12176" max="12176" customWidth="1" width="9.140625"/>
    <col min="12177" max="12177" customWidth="1" width="9.140625"/>
    <col min="12178" max="12178" customWidth="1" width="9.140625"/>
    <col min="12179" max="12179" customWidth="1" width="9.140625"/>
    <col min="12180" max="12180" customWidth="1" width="9.140625"/>
    <col min="12181" max="12181" customWidth="1" width="9.140625"/>
    <col min="12182" max="12182" customWidth="1" width="9.140625"/>
    <col min="12183" max="12183" customWidth="1" width="9.140625"/>
    <col min="12184" max="12184" customWidth="1" width="9.140625"/>
    <col min="12185" max="12185" customWidth="1" width="9.140625"/>
    <col min="12186" max="12186" customWidth="1" width="9.140625"/>
    <col min="12187" max="12187" customWidth="1" width="9.140625"/>
    <col min="12188" max="12188" customWidth="1" width="9.140625"/>
    <col min="12189" max="12189" customWidth="1" width="9.140625"/>
    <col min="12190" max="12190" customWidth="1" width="9.140625"/>
    <col min="12191" max="12191" customWidth="1" width="9.140625"/>
    <col min="12192" max="12192" customWidth="1" width="9.140625"/>
    <col min="12193" max="12193" customWidth="1" width="9.140625"/>
    <col min="12194" max="12194" customWidth="1" width="9.140625"/>
    <col min="12195" max="12195" customWidth="1" width="9.140625"/>
    <col min="12196" max="12196" customWidth="1" width="9.140625"/>
    <col min="12197" max="12197" customWidth="1" width="9.140625"/>
    <col min="12198" max="12198" customWidth="1" width="9.140625"/>
    <col min="12199" max="12199" customWidth="1" width="9.140625"/>
    <col min="12200" max="12200" customWidth="1" width="9.140625"/>
    <col min="12201" max="12201" customWidth="1" width="9.140625"/>
    <col min="12202" max="12202" customWidth="1" width="9.140625"/>
    <col min="12203" max="12203" customWidth="1" width="9.140625"/>
    <col min="12204" max="12204" customWidth="1" width="9.140625"/>
    <col min="12205" max="12205" customWidth="1" width="9.140625"/>
    <col min="12206" max="12206" customWidth="1" width="9.140625"/>
    <col min="12207" max="12207" customWidth="1" width="9.140625"/>
    <col min="12208" max="12208" customWidth="1" width="9.140625"/>
    <col min="12209" max="12209" customWidth="1" width="9.140625"/>
    <col min="12210" max="12210" customWidth="1" width="9.140625"/>
    <col min="12211" max="12211" customWidth="1" width="9.140625"/>
    <col min="12212" max="12212" customWidth="1" width="9.140625"/>
    <col min="12213" max="12213" customWidth="1" width="9.140625"/>
    <col min="12214" max="12214" customWidth="1" width="9.140625"/>
    <col min="12215" max="12215" customWidth="1" width="9.140625"/>
    <col min="12216" max="12216" customWidth="1" width="9.140625"/>
    <col min="12217" max="12217" customWidth="1" width="9.140625"/>
    <col min="12218" max="12218" customWidth="1" width="9.140625"/>
    <col min="12219" max="12219" customWidth="1" width="9.140625"/>
    <col min="12220" max="12220" customWidth="1" width="9.140625"/>
    <col min="12221" max="12221" customWidth="1" width="9.140625"/>
    <col min="12222" max="12222" customWidth="1" width="9.140625"/>
    <col min="12223" max="12223" customWidth="1" width="9.140625"/>
    <col min="12224" max="12224" customWidth="1" width="9.140625"/>
    <col min="12225" max="12225" customWidth="1" width="9.140625"/>
    <col min="12226" max="12226" customWidth="1" width="9.140625"/>
    <col min="12227" max="12227" customWidth="1" width="9.140625"/>
    <col min="12228" max="12228" customWidth="1" width="9.140625"/>
    <col min="12229" max="12229" customWidth="1" width="9.140625"/>
    <col min="12230" max="12230" customWidth="1" width="9.140625"/>
    <col min="12231" max="12231" customWidth="1" width="9.140625"/>
    <col min="12232" max="12232" customWidth="1" width="9.140625"/>
    <col min="12233" max="12233" customWidth="1" width="9.140625"/>
    <col min="12234" max="12234" customWidth="1" width="9.140625"/>
    <col min="12235" max="12235" customWidth="1" width="9.140625"/>
    <col min="12236" max="12236" customWidth="1" width="9.140625"/>
    <col min="12237" max="12237" customWidth="1" width="9.140625"/>
    <col min="12238" max="12238" customWidth="1" width="9.140625"/>
    <col min="12239" max="12239" customWidth="1" width="9.140625"/>
    <col min="12240" max="12240" customWidth="1" width="9.140625"/>
    <col min="12241" max="12241" customWidth="1" width="9.140625"/>
    <col min="12242" max="12242" customWidth="1" width="9.140625"/>
    <col min="12243" max="12243" customWidth="1" width="9.140625"/>
    <col min="12244" max="12244" customWidth="1" width="9.140625"/>
    <col min="12245" max="12245" customWidth="1" width="9.140625"/>
    <col min="12246" max="12246" customWidth="1" width="9.140625"/>
    <col min="12247" max="12247" customWidth="1" width="9.140625"/>
    <col min="12248" max="12248" customWidth="1" width="9.140625"/>
    <col min="12249" max="12249" customWidth="1" width="9.140625"/>
    <col min="12250" max="12250" customWidth="1" width="9.140625"/>
    <col min="12251" max="12251" customWidth="1" width="9.140625"/>
    <col min="12252" max="12252" customWidth="1" width="9.140625"/>
    <col min="12253" max="12253" customWidth="1" width="9.140625"/>
    <col min="12254" max="12254" customWidth="1" width="9.140625"/>
    <col min="12255" max="12255" customWidth="1" width="9.140625"/>
    <col min="12256" max="12256" customWidth="1" width="9.140625"/>
    <col min="12257" max="12257" customWidth="1" width="9.140625"/>
    <col min="12258" max="12258" customWidth="1" width="9.140625"/>
    <col min="12259" max="12259" customWidth="1" width="9.140625"/>
    <col min="12260" max="12260" customWidth="1" width="9.140625"/>
    <col min="12261" max="12261" customWidth="1" width="9.140625"/>
    <col min="12262" max="12262" customWidth="1" width="9.140625"/>
    <col min="12263" max="12263" customWidth="1" width="9.140625"/>
    <col min="12264" max="12264" customWidth="1" width="9.140625"/>
    <col min="12265" max="12265" customWidth="1" width="9.140625"/>
    <col min="12266" max="12266" customWidth="1" width="9.140625"/>
    <col min="12267" max="12267" customWidth="1" width="9.140625"/>
    <col min="12268" max="12268" customWidth="1" width="9.140625"/>
    <col min="12269" max="12269" customWidth="1" width="9.140625"/>
    <col min="12270" max="12270" customWidth="1" width="9.140625"/>
    <col min="12271" max="12271" customWidth="1" width="9.140625"/>
    <col min="12272" max="12272" customWidth="1" width="9.140625"/>
    <col min="12273" max="12273" customWidth="1" width="9.140625"/>
    <col min="12274" max="12274" customWidth="1" width="9.140625"/>
    <col min="12275" max="12275" customWidth="1" width="9.140625"/>
    <col min="12276" max="12276" customWidth="1" width="9.140625"/>
    <col min="12277" max="12277" customWidth="1" width="9.140625"/>
    <col min="12278" max="12278" customWidth="1" width="9.140625"/>
    <col min="12279" max="12279" customWidth="1" width="9.140625"/>
    <col min="12280" max="12280" customWidth="1" width="9.140625"/>
    <col min="12281" max="12281" customWidth="1" width="9.140625"/>
    <col min="12282" max="12282" customWidth="1" width="9.140625"/>
    <col min="12283" max="12283" customWidth="1" width="9.140625"/>
    <col min="12284" max="12284" customWidth="1" width="9.140625"/>
    <col min="12285" max="12285" customWidth="1" width="9.140625"/>
    <col min="12286" max="12286" customWidth="1" width="9.140625"/>
    <col min="12287" max="12287" customWidth="1" width="9.140625"/>
    <col min="12288" max="12288" customWidth="1" width="9.140625"/>
    <col min="12289" max="12289" customWidth="1" width="9.140625"/>
    <col min="12290" max="12290" customWidth="1" width="9.140625"/>
    <col min="12291" max="12291" customWidth="1" width="9.140625"/>
    <col min="12292" max="12292" customWidth="1" width="9.140625"/>
    <col min="12293" max="12293" customWidth="1" width="9.140625"/>
    <col min="12294" max="12294" customWidth="1" width="9.140625"/>
    <col min="12295" max="12295" customWidth="1" width="9.140625"/>
    <col min="12296" max="12296" customWidth="1" width="9.140625"/>
    <col min="12297" max="12297" customWidth="1" width="9.140625"/>
    <col min="12298" max="12298" customWidth="1" width="9.140625"/>
    <col min="12299" max="12299" customWidth="1" width="9.140625"/>
    <col min="12300" max="12300" customWidth="1" width="9.140625"/>
    <col min="12301" max="12301" customWidth="1" width="9.140625"/>
    <col min="12302" max="12302" customWidth="1" width="9.140625"/>
    <col min="12303" max="12303" customWidth="1" width="9.140625"/>
    <col min="12304" max="12304" customWidth="1" width="9.140625"/>
    <col min="12305" max="12305" customWidth="1" width="9.140625"/>
    <col min="12306" max="12306" customWidth="1" width="9.140625"/>
    <col min="12307" max="12307" customWidth="1" width="9.140625"/>
    <col min="12308" max="12308" customWidth="1" width="9.140625"/>
    <col min="12309" max="12309" customWidth="1" width="9.140625"/>
    <col min="12310" max="12310" customWidth="1" width="9.140625"/>
    <col min="12311" max="12311" customWidth="1" width="9.140625"/>
    <col min="12312" max="12312" customWidth="1" width="9.140625"/>
    <col min="12313" max="12313" customWidth="1" width="9.140625"/>
    <col min="12314" max="12314" customWidth="1" width="9.140625"/>
    <col min="12315" max="12315" customWidth="1" width="9.140625"/>
    <col min="12316" max="12316" customWidth="1" width="9.140625"/>
    <col min="12317" max="12317" customWidth="1" width="9.140625"/>
    <col min="12318" max="12318" customWidth="1" width="9.140625"/>
    <col min="12319" max="12319" customWidth="1" width="9.140625"/>
    <col min="12320" max="12320" customWidth="1" width="9.140625"/>
    <col min="12321" max="12321" customWidth="1" width="9.140625"/>
    <col min="12322" max="12322" customWidth="1" width="9.140625"/>
    <col min="12323" max="12323" customWidth="1" width="9.140625"/>
    <col min="12324" max="12324" customWidth="1" width="9.140625"/>
    <col min="12325" max="12325" customWidth="1" width="9.140625"/>
    <col min="12326" max="12326" customWidth="1" width="9.140625"/>
    <col min="12327" max="12327" customWidth="1" width="9.140625"/>
    <col min="12328" max="12328" customWidth="1" width="9.140625"/>
    <col min="12329" max="12329" customWidth="1" width="9.140625"/>
    <col min="12330" max="12330" customWidth="1" width="9.140625"/>
    <col min="12331" max="12331" customWidth="1" width="9.140625"/>
    <col min="12332" max="12332" customWidth="1" width="9.140625"/>
    <col min="12333" max="12333" customWidth="1" width="9.140625"/>
    <col min="12334" max="12334" customWidth="1" width="9.140625"/>
    <col min="12335" max="12335" customWidth="1" width="9.140625"/>
    <col min="12336" max="12336" customWidth="1" width="9.140625"/>
    <col min="12337" max="12337" customWidth="1" width="9.140625"/>
    <col min="12338" max="12338" customWidth="1" width="9.140625"/>
    <col min="12339" max="12339" customWidth="1" width="9.140625"/>
    <col min="12340" max="12340" customWidth="1" width="9.140625"/>
    <col min="12341" max="12341" customWidth="1" width="9.140625"/>
    <col min="12342" max="12342" customWidth="1" width="9.140625"/>
    <col min="12343" max="12343" customWidth="1" width="9.140625"/>
    <col min="12344" max="12344" customWidth="1" width="9.140625"/>
    <col min="12345" max="12345" customWidth="1" width="9.140625"/>
    <col min="12346" max="12346" customWidth="1" width="9.140625"/>
    <col min="12347" max="12347" customWidth="1" width="9.140625"/>
    <col min="12348" max="12348" customWidth="1" width="9.140625"/>
    <col min="12349" max="12349" customWidth="1" width="9.140625"/>
    <col min="12350" max="12350" customWidth="1" width="9.140625"/>
    <col min="12351" max="12351" customWidth="1" width="9.140625"/>
    <col min="12352" max="12352" customWidth="1" width="9.140625"/>
    <col min="12353" max="12353" customWidth="1" width="9.140625"/>
    <col min="12354" max="12354" customWidth="1" width="9.140625"/>
    <col min="12355" max="12355" customWidth="1" width="9.140625"/>
    <col min="12356" max="12356" customWidth="1" width="9.140625"/>
    <col min="12357" max="12357" customWidth="1" width="9.140625"/>
    <col min="12358" max="12358" customWidth="1" width="9.140625"/>
    <col min="12359" max="12359" customWidth="1" width="9.140625"/>
    <col min="12360" max="12360" customWidth="1" width="9.140625"/>
    <col min="12361" max="12361" customWidth="1" width="9.140625"/>
    <col min="12362" max="12362" customWidth="1" width="9.140625"/>
    <col min="12363" max="12363" customWidth="1" width="9.140625"/>
    <col min="12364" max="12364" customWidth="1" width="9.140625"/>
    <col min="12365" max="12365" customWidth="1" width="9.140625"/>
    <col min="12366" max="12366" customWidth="1" width="9.140625"/>
    <col min="12367" max="12367" customWidth="1" width="9.140625"/>
    <col min="12368" max="12368" customWidth="1" width="9.140625"/>
    <col min="12369" max="12369" customWidth="1" width="9.140625"/>
    <col min="12370" max="12370" customWidth="1" width="9.140625"/>
    <col min="12371" max="12371" customWidth="1" width="9.140625"/>
    <col min="12372" max="12372" customWidth="1" width="9.140625"/>
    <col min="12373" max="12373" customWidth="1" width="9.140625"/>
    <col min="12374" max="12374" customWidth="1" width="9.140625"/>
    <col min="12375" max="12375" customWidth="1" width="9.140625"/>
    <col min="12376" max="12376" customWidth="1" width="9.140625"/>
    <col min="12377" max="12377" customWidth="1" width="9.140625"/>
    <col min="12378" max="12378" customWidth="1" width="9.140625"/>
    <col min="12379" max="12379" customWidth="1" width="9.140625"/>
    <col min="12380" max="12380" customWidth="1" width="9.140625"/>
    <col min="12381" max="12381" customWidth="1" width="9.140625"/>
    <col min="12382" max="12382" customWidth="1" width="9.140625"/>
    <col min="12383" max="12383" customWidth="1" width="9.140625"/>
    <col min="12384" max="12384" customWidth="1" width="9.140625"/>
    <col min="12385" max="12385" customWidth="1" width="9.140625"/>
    <col min="12386" max="12386" customWidth="1" width="9.140625"/>
    <col min="12387" max="12387" customWidth="1" width="9.140625"/>
    <col min="12388" max="12388" customWidth="1" width="9.140625"/>
    <col min="12389" max="12389" customWidth="1" width="9.140625"/>
    <col min="12390" max="12390" customWidth="1" width="9.140625"/>
    <col min="12391" max="12391" customWidth="1" width="9.140625"/>
    <col min="12392" max="12392" customWidth="1" width="9.140625"/>
    <col min="12393" max="12393" customWidth="1" width="9.140625"/>
    <col min="12394" max="12394" customWidth="1" width="9.140625"/>
    <col min="12395" max="12395" customWidth="1" width="9.140625"/>
    <col min="12396" max="12396" customWidth="1" width="9.140625"/>
    <col min="12397" max="12397" customWidth="1" width="9.140625"/>
    <col min="12398" max="12398" customWidth="1" width="9.140625"/>
    <col min="12399" max="12399" customWidth="1" width="9.140625"/>
    <col min="12400" max="12400" customWidth="1" width="9.140625"/>
    <col min="12401" max="12401" customWidth="1" width="9.140625"/>
    <col min="12402" max="12402" customWidth="1" width="9.140625"/>
    <col min="12403" max="12403" customWidth="1" width="9.140625"/>
    <col min="12404" max="12404" customWidth="1" width="9.140625"/>
    <col min="12405" max="12405" customWidth="1" width="9.140625"/>
    <col min="12406" max="12406" customWidth="1" width="9.140625"/>
    <col min="12407" max="12407" customWidth="1" width="9.140625"/>
    <col min="12408" max="12408" customWidth="1" width="9.140625"/>
    <col min="12409" max="12409" customWidth="1" width="9.140625"/>
    <col min="12410" max="12410" customWidth="1" width="9.140625"/>
    <col min="12411" max="12411" customWidth="1" width="9.140625"/>
    <col min="12412" max="12412" customWidth="1" width="9.140625"/>
    <col min="12413" max="12413" customWidth="1" width="9.140625"/>
    <col min="12414" max="12414" customWidth="1" width="9.140625"/>
    <col min="12415" max="12415" customWidth="1" width="9.140625"/>
    <col min="12416" max="12416" customWidth="1" width="9.140625"/>
    <col min="12417" max="12417" customWidth="1" width="9.140625"/>
    <col min="12418" max="12418" customWidth="1" width="9.140625"/>
    <col min="12419" max="12419" customWidth="1" width="9.140625"/>
    <col min="12420" max="12420" customWidth="1" width="9.140625"/>
    <col min="12421" max="12421" customWidth="1" width="9.140625"/>
    <col min="12422" max="12422" customWidth="1" width="9.140625"/>
    <col min="12423" max="12423" customWidth="1" width="9.140625"/>
    <col min="12424" max="12424" customWidth="1" width="9.140625"/>
    <col min="12425" max="12425" customWidth="1" width="9.140625"/>
    <col min="12426" max="12426" customWidth="1" width="9.140625"/>
    <col min="12427" max="12427" customWidth="1" width="9.140625"/>
    <col min="12428" max="12428" customWidth="1" width="9.140625"/>
    <col min="12429" max="12429" customWidth="1" width="9.140625"/>
    <col min="12430" max="12430" customWidth="1" width="9.140625"/>
    <col min="12431" max="12431" customWidth="1" width="9.140625"/>
    <col min="12432" max="12432" customWidth="1" width="9.140625"/>
    <col min="12433" max="12433" customWidth="1" width="9.140625"/>
    <col min="12434" max="12434" customWidth="1" width="9.140625"/>
    <col min="12435" max="12435" customWidth="1" width="9.140625"/>
    <col min="12436" max="12436" customWidth="1" width="9.140625"/>
    <col min="12437" max="12437" customWidth="1" width="9.140625"/>
    <col min="12438" max="12438" customWidth="1" width="9.140625"/>
    <col min="12439" max="12439" customWidth="1" width="9.140625"/>
    <col min="12440" max="12440" customWidth="1" width="9.140625"/>
    <col min="12441" max="12441" customWidth="1" width="9.140625"/>
    <col min="12442" max="12442" customWidth="1" width="9.140625"/>
    <col min="12443" max="12443" customWidth="1" width="9.140625"/>
    <col min="12444" max="12444" customWidth="1" width="9.140625"/>
    <col min="12445" max="12445" customWidth="1" width="9.140625"/>
    <col min="12446" max="12446" customWidth="1" width="9.140625"/>
    <col min="12447" max="12447" customWidth="1" width="9.140625"/>
    <col min="12448" max="12448" customWidth="1" width="9.140625"/>
    <col min="12449" max="12449" customWidth="1" width="9.140625"/>
    <col min="12450" max="12450" customWidth="1" width="9.140625"/>
    <col min="12451" max="12451" customWidth="1" width="9.140625"/>
    <col min="12452" max="12452" customWidth="1" width="9.140625"/>
    <col min="12453" max="12453" customWidth="1" width="9.140625"/>
    <col min="12454" max="12454" customWidth="1" width="9.140625"/>
    <col min="12455" max="12455" customWidth="1" width="9.140625"/>
    <col min="12456" max="12456" customWidth="1" width="9.140625"/>
    <col min="12457" max="12457" customWidth="1" width="9.140625"/>
    <col min="12458" max="12458" customWidth="1" width="9.140625"/>
    <col min="12459" max="12459" customWidth="1" width="9.140625"/>
    <col min="12460" max="12460" customWidth="1" width="9.140625"/>
    <col min="12461" max="12461" customWidth="1" width="9.140625"/>
    <col min="12462" max="12462" customWidth="1" width="9.140625"/>
    <col min="12463" max="12463" customWidth="1" width="9.140625"/>
    <col min="12464" max="12464" customWidth="1" width="9.140625"/>
    <col min="12465" max="12465" customWidth="1" width="9.140625"/>
    <col min="12466" max="12466" customWidth="1" width="9.140625"/>
    <col min="12467" max="12467" customWidth="1" width="9.140625"/>
    <col min="12468" max="12468" customWidth="1" width="9.140625"/>
    <col min="12469" max="12469" customWidth="1" width="9.140625"/>
    <col min="12470" max="12470" customWidth="1" width="9.140625"/>
    <col min="12471" max="12471" customWidth="1" width="9.140625"/>
    <col min="12472" max="12472" customWidth="1" width="9.140625"/>
    <col min="12473" max="12473" customWidth="1" width="9.140625"/>
    <col min="12474" max="12474" customWidth="1" width="9.140625"/>
    <col min="12475" max="12475" customWidth="1" width="9.140625"/>
    <col min="12476" max="12476" customWidth="1" width="9.140625"/>
    <col min="12477" max="12477" customWidth="1" width="9.140625"/>
    <col min="12478" max="12478" customWidth="1" width="9.140625"/>
    <col min="12479" max="12479" customWidth="1" width="9.140625"/>
    <col min="12480" max="12480" customWidth="1" width="9.140625"/>
    <col min="12481" max="12481" customWidth="1" width="9.140625"/>
    <col min="12482" max="12482" customWidth="1" width="9.140625"/>
    <col min="12483" max="12483" customWidth="1" width="9.140625"/>
    <col min="12484" max="12484" customWidth="1" width="9.140625"/>
    <col min="12485" max="12485" customWidth="1" width="9.140625"/>
    <col min="12486" max="12486" customWidth="1" width="9.140625"/>
    <col min="12487" max="12487" customWidth="1" width="9.140625"/>
    <col min="12488" max="12488" customWidth="1" width="9.140625"/>
    <col min="12489" max="12489" customWidth="1" width="9.140625"/>
    <col min="12490" max="12490" customWidth="1" width="9.140625"/>
    <col min="12491" max="12491" customWidth="1" width="9.140625"/>
    <col min="12492" max="12492" customWidth="1" width="9.140625"/>
    <col min="12493" max="12493" customWidth="1" width="9.140625"/>
    <col min="12494" max="12494" customWidth="1" width="9.140625"/>
    <col min="12495" max="12495" customWidth="1" width="9.140625"/>
    <col min="12496" max="12496" customWidth="1" width="9.140625"/>
    <col min="12497" max="12497" customWidth="1" width="9.140625"/>
    <col min="12498" max="12498" customWidth="1" width="9.140625"/>
    <col min="12499" max="12499" customWidth="1" width="9.140625"/>
    <col min="12500" max="12500" customWidth="1" width="9.140625"/>
    <col min="12501" max="12501" customWidth="1" width="9.140625"/>
    <col min="12502" max="12502" customWidth="1" width="9.140625"/>
    <col min="12503" max="12503" customWidth="1" width="9.140625"/>
    <col min="12504" max="12504" customWidth="1" width="9.140625"/>
    <col min="12505" max="12505" customWidth="1" width="9.140625"/>
    <col min="12506" max="12506" customWidth="1" width="9.140625"/>
    <col min="12507" max="12507" customWidth="1" width="9.140625"/>
    <col min="12508" max="12508" customWidth="1" width="9.140625"/>
    <col min="12509" max="12509" customWidth="1" width="9.140625"/>
    <col min="12510" max="12510" customWidth="1" width="9.140625"/>
    <col min="12511" max="12511" customWidth="1" width="9.140625"/>
    <col min="12512" max="12512" customWidth="1" width="9.140625"/>
    <col min="12513" max="12513" customWidth="1" width="9.140625"/>
    <col min="12514" max="12514" customWidth="1" width="9.140625"/>
    <col min="12515" max="12515" customWidth="1" width="9.140625"/>
    <col min="12516" max="12516" customWidth="1" width="9.140625"/>
    <col min="12517" max="12517" customWidth="1" width="9.140625"/>
    <col min="12518" max="12518" customWidth="1" width="9.140625"/>
    <col min="12519" max="12519" customWidth="1" width="9.140625"/>
    <col min="12520" max="12520" customWidth="1" width="9.140625"/>
    <col min="12521" max="12521" customWidth="1" width="9.140625"/>
    <col min="12522" max="12522" customWidth="1" width="9.140625"/>
    <col min="12523" max="12523" customWidth="1" width="9.140625"/>
    <col min="12524" max="12524" customWidth="1" width="9.140625"/>
    <col min="12525" max="12525" customWidth="1" width="9.140625"/>
    <col min="12526" max="12526" customWidth="1" width="9.140625"/>
    <col min="12527" max="12527" customWidth="1" width="9.140625"/>
    <col min="12528" max="12528" customWidth="1" width="9.140625"/>
    <col min="12529" max="12529" customWidth="1" width="9.140625"/>
    <col min="12530" max="12530" customWidth="1" width="9.140625"/>
    <col min="12531" max="12531" customWidth="1" width="9.140625"/>
    <col min="12532" max="12532" customWidth="1" width="9.140625"/>
    <col min="12533" max="12533" customWidth="1" width="9.140625"/>
    <col min="12534" max="12534" customWidth="1" width="9.140625"/>
    <col min="12535" max="12535" customWidth="1" width="9.140625"/>
    <col min="12536" max="12536" customWidth="1" width="9.140625"/>
    <col min="12537" max="12537" customWidth="1" width="9.140625"/>
    <col min="12538" max="12538" customWidth="1" width="9.140625"/>
    <col min="12539" max="12539" customWidth="1" width="9.140625"/>
    <col min="12540" max="12540" customWidth="1" width="9.140625"/>
    <col min="12541" max="12541" customWidth="1" width="9.140625"/>
    <col min="12542" max="12542" customWidth="1" width="9.140625"/>
    <col min="12543" max="12543" customWidth="1" width="9.140625"/>
    <col min="12544" max="12544" customWidth="1" width="9.140625"/>
    <col min="12545" max="12545" customWidth="1" width="9.140625"/>
    <col min="12546" max="12546" customWidth="1" width="9.140625"/>
    <col min="12547" max="12547" customWidth="1" width="9.140625"/>
    <col min="12548" max="12548" customWidth="1" width="9.140625"/>
    <col min="12549" max="12549" customWidth="1" width="9.140625"/>
    <col min="12550" max="12550" customWidth="1" width="9.140625"/>
    <col min="12551" max="12551" customWidth="1" width="9.140625"/>
    <col min="12552" max="12552" customWidth="1" width="9.140625"/>
    <col min="12553" max="12553" customWidth="1" width="9.140625"/>
    <col min="12554" max="12554" customWidth="1" width="9.140625"/>
    <col min="12555" max="12555" customWidth="1" width="9.140625"/>
    <col min="12556" max="12556" customWidth="1" width="9.140625"/>
    <col min="12557" max="12557" customWidth="1" width="9.140625"/>
    <col min="12558" max="12558" customWidth="1" width="9.140625"/>
    <col min="12559" max="12559" customWidth="1" width="9.140625"/>
    <col min="12560" max="12560" customWidth="1" width="9.140625"/>
    <col min="12561" max="12561" customWidth="1" width="9.140625"/>
    <col min="12562" max="12562" customWidth="1" width="9.140625"/>
    <col min="12563" max="12563" customWidth="1" width="9.140625"/>
    <col min="12564" max="12564" customWidth="1" width="9.140625"/>
    <col min="12565" max="12565" customWidth="1" width="9.140625"/>
    <col min="12566" max="12566" customWidth="1" width="9.140625"/>
    <col min="12567" max="12567" customWidth="1" width="9.140625"/>
    <col min="12568" max="12568" customWidth="1" width="9.140625"/>
    <col min="12569" max="12569" customWidth="1" width="9.140625"/>
    <col min="12570" max="12570" customWidth="1" width="9.140625"/>
    <col min="12571" max="12571" customWidth="1" width="9.140625"/>
    <col min="12572" max="12572" customWidth="1" width="9.140625"/>
    <col min="12573" max="12573" customWidth="1" width="9.140625"/>
    <col min="12574" max="12574" customWidth="1" width="9.140625"/>
    <col min="12575" max="12575" customWidth="1" width="9.140625"/>
    <col min="12576" max="12576" customWidth="1" width="9.140625"/>
    <col min="12577" max="12577" customWidth="1" width="9.140625"/>
    <col min="12578" max="12578" customWidth="1" width="9.140625"/>
    <col min="12579" max="12579" customWidth="1" width="9.140625"/>
    <col min="12580" max="12580" customWidth="1" width="9.140625"/>
    <col min="12581" max="12581" customWidth="1" width="9.140625"/>
    <col min="12582" max="12582" customWidth="1" width="9.140625"/>
    <col min="12583" max="12583" customWidth="1" width="9.140625"/>
    <col min="12584" max="12584" customWidth="1" width="9.140625"/>
    <col min="12585" max="12585" customWidth="1" width="9.140625"/>
    <col min="12586" max="12586" customWidth="1" width="9.140625"/>
    <col min="12587" max="12587" customWidth="1" width="9.140625"/>
    <col min="12588" max="12588" customWidth="1" width="9.140625"/>
    <col min="12589" max="12589" customWidth="1" width="9.140625"/>
    <col min="12590" max="12590" customWidth="1" width="9.140625"/>
    <col min="12591" max="12591" customWidth="1" width="9.140625"/>
    <col min="12592" max="12592" customWidth="1" width="9.140625"/>
    <col min="12593" max="12593" customWidth="1" width="9.140625"/>
    <col min="12594" max="12594" customWidth="1" width="9.140625"/>
    <col min="12595" max="12595" customWidth="1" width="9.140625"/>
    <col min="12596" max="12596" customWidth="1" width="9.140625"/>
    <col min="12597" max="12597" customWidth="1" width="9.140625"/>
    <col min="12598" max="12598" customWidth="1" width="9.140625"/>
    <col min="12599" max="12599" customWidth="1" width="9.140625"/>
    <col min="12600" max="12600" customWidth="1" width="9.140625"/>
    <col min="12601" max="12601" customWidth="1" width="9.140625"/>
    <col min="12602" max="12602" customWidth="1" width="9.140625"/>
    <col min="12603" max="12603" customWidth="1" width="9.140625"/>
    <col min="12604" max="12604" customWidth="1" width="9.140625"/>
    <col min="12605" max="12605" customWidth="1" width="9.140625"/>
    <col min="12606" max="12606" customWidth="1" width="9.140625"/>
    <col min="12607" max="12607" customWidth="1" width="9.140625"/>
    <col min="12608" max="12608" customWidth="1" width="9.140625"/>
    <col min="12609" max="12609" customWidth="1" width="9.140625"/>
    <col min="12610" max="12610" customWidth="1" width="9.140625"/>
    <col min="12611" max="12611" customWidth="1" width="9.140625"/>
    <col min="12612" max="12612" customWidth="1" width="9.140625"/>
    <col min="12613" max="12613" customWidth="1" width="9.140625"/>
    <col min="12614" max="12614" customWidth="1" width="9.140625"/>
    <col min="12615" max="12615" customWidth="1" width="9.140625"/>
    <col min="12616" max="12616" customWidth="1" width="9.140625"/>
    <col min="12617" max="12617" customWidth="1" width="9.140625"/>
    <col min="12618" max="12618" customWidth="1" width="9.140625"/>
    <col min="12619" max="12619" customWidth="1" width="9.140625"/>
    <col min="12620" max="12620" customWidth="1" width="9.140625"/>
    <col min="12621" max="12621" customWidth="1" width="9.140625"/>
    <col min="12622" max="12622" customWidth="1" width="9.140625"/>
    <col min="12623" max="12623" customWidth="1" width="9.140625"/>
    <col min="12624" max="12624" customWidth="1" width="9.140625"/>
    <col min="12625" max="12625" customWidth="1" width="9.140625"/>
    <col min="12626" max="12626" customWidth="1" width="9.140625"/>
    <col min="12627" max="12627" customWidth="1" width="9.140625"/>
    <col min="12628" max="12628" customWidth="1" width="9.140625"/>
    <col min="12629" max="12629" customWidth="1" width="9.140625"/>
    <col min="12630" max="12630" customWidth="1" width="9.140625"/>
    <col min="12631" max="12631" customWidth="1" width="9.140625"/>
    <col min="12632" max="12632" customWidth="1" width="9.140625"/>
    <col min="12633" max="12633" customWidth="1" width="9.140625"/>
    <col min="12634" max="12634" customWidth="1" width="9.140625"/>
    <col min="12635" max="12635" customWidth="1" width="9.140625"/>
    <col min="12636" max="12636" customWidth="1" width="9.140625"/>
    <col min="12637" max="12637" customWidth="1" width="9.140625"/>
    <col min="12638" max="12638" customWidth="1" width="9.140625"/>
    <col min="12639" max="12639" customWidth="1" width="9.140625"/>
    <col min="12640" max="12640" customWidth="1" width="9.140625"/>
    <col min="12641" max="12641" customWidth="1" width="9.140625"/>
    <col min="12642" max="12642" customWidth="1" width="9.140625"/>
    <col min="12643" max="12643" customWidth="1" width="9.140625"/>
    <col min="12644" max="12644" customWidth="1" width="9.140625"/>
    <col min="12645" max="12645" customWidth="1" width="9.140625"/>
    <col min="12646" max="12646" customWidth="1" width="9.140625"/>
    <col min="12647" max="12647" customWidth="1" width="9.140625"/>
    <col min="12648" max="12648" customWidth="1" width="9.140625"/>
    <col min="12649" max="12649" customWidth="1" width="9.140625"/>
    <col min="12650" max="12650" customWidth="1" width="9.140625"/>
    <col min="12651" max="12651" customWidth="1" width="9.140625"/>
    <col min="12652" max="12652" customWidth="1" width="9.140625"/>
    <col min="12653" max="12653" customWidth="1" width="9.140625"/>
    <col min="12654" max="12654" customWidth="1" width="9.140625"/>
    <col min="12655" max="12655" customWidth="1" width="9.140625"/>
    <col min="12656" max="12656" customWidth="1" width="9.140625"/>
    <col min="12657" max="12657" customWidth="1" width="9.140625"/>
    <col min="12658" max="12658" customWidth="1" width="9.140625"/>
    <col min="12659" max="12659" customWidth="1" width="9.140625"/>
    <col min="12660" max="12660" customWidth="1" width="9.140625"/>
    <col min="12661" max="12661" customWidth="1" width="9.140625"/>
    <col min="12662" max="12662" customWidth="1" width="9.140625"/>
    <col min="12663" max="12663" customWidth="1" width="9.140625"/>
    <col min="12664" max="12664" customWidth="1" width="9.140625"/>
    <col min="12665" max="12665" customWidth="1" width="9.140625"/>
    <col min="12666" max="12666" customWidth="1" width="9.140625"/>
    <col min="12667" max="12667" customWidth="1" width="9.140625"/>
    <col min="12668" max="12668" customWidth="1" width="9.140625"/>
    <col min="12669" max="12669" customWidth="1" width="9.140625"/>
    <col min="12670" max="12670" customWidth="1" width="9.140625"/>
    <col min="12671" max="12671" customWidth="1" width="9.140625"/>
    <col min="12672" max="12672" customWidth="1" width="9.140625"/>
    <col min="12673" max="12673" customWidth="1" width="9.140625"/>
    <col min="12674" max="12674" customWidth="1" width="9.140625"/>
    <col min="12675" max="12675" customWidth="1" width="9.140625"/>
    <col min="12676" max="12676" customWidth="1" width="9.140625"/>
    <col min="12677" max="12677" customWidth="1" width="9.140625"/>
    <col min="12678" max="12678" customWidth="1" width="9.140625"/>
    <col min="12679" max="12679" customWidth="1" width="9.140625"/>
    <col min="12680" max="12680" customWidth="1" width="9.140625"/>
    <col min="12681" max="12681" customWidth="1" width="9.140625"/>
    <col min="12682" max="12682" customWidth="1" width="9.140625"/>
    <col min="12683" max="12683" customWidth="1" width="9.140625"/>
    <col min="12684" max="12684" customWidth="1" width="9.140625"/>
    <col min="12685" max="12685" customWidth="1" width="9.140625"/>
    <col min="12686" max="12686" customWidth="1" width="9.140625"/>
    <col min="12687" max="12687" customWidth="1" width="9.140625"/>
    <col min="12688" max="12688" customWidth="1" width="9.140625"/>
    <col min="12689" max="12689" customWidth="1" width="9.140625"/>
    <col min="12690" max="12690" customWidth="1" width="9.140625"/>
    <col min="12691" max="12691" customWidth="1" width="9.140625"/>
    <col min="12692" max="12692" customWidth="1" width="9.140625"/>
    <col min="12693" max="12693" customWidth="1" width="9.140625"/>
    <col min="12694" max="12694" customWidth="1" width="9.140625"/>
    <col min="12695" max="12695" customWidth="1" width="9.140625"/>
    <col min="12696" max="12696" customWidth="1" width="9.140625"/>
    <col min="12697" max="12697" customWidth="1" width="9.140625"/>
    <col min="12698" max="12698" customWidth="1" width="9.140625"/>
    <col min="12699" max="12699" customWidth="1" width="9.140625"/>
    <col min="12700" max="12700" customWidth="1" width="9.140625"/>
    <col min="12701" max="12701" customWidth="1" width="9.140625"/>
    <col min="12702" max="12702" customWidth="1" width="9.140625"/>
    <col min="12703" max="12703" customWidth="1" width="9.140625"/>
    <col min="12704" max="12704" customWidth="1" width="9.140625"/>
    <col min="12705" max="12705" customWidth="1" width="9.140625"/>
    <col min="12706" max="12706" customWidth="1" width="9.140625"/>
    <col min="12707" max="12707" customWidth="1" width="9.140625"/>
    <col min="12708" max="12708" customWidth="1" width="9.140625"/>
    <col min="12709" max="12709" customWidth="1" width="9.140625"/>
    <col min="12710" max="12710" customWidth="1" width="9.140625"/>
    <col min="12711" max="12711" customWidth="1" width="9.140625"/>
    <col min="12712" max="12712" customWidth="1" width="9.140625"/>
    <col min="12713" max="12713" customWidth="1" width="9.140625"/>
    <col min="12714" max="12714" customWidth="1" width="9.140625"/>
    <col min="12715" max="12715" customWidth="1" width="9.140625"/>
    <col min="12716" max="12716" customWidth="1" width="9.140625"/>
    <col min="12717" max="12717" customWidth="1" width="9.140625"/>
    <col min="12718" max="12718" customWidth="1" width="9.140625"/>
    <col min="12719" max="12719" customWidth="1" width="9.140625"/>
    <col min="12720" max="12720" customWidth="1" width="9.140625"/>
    <col min="12721" max="12721" customWidth="1" width="9.140625"/>
    <col min="12722" max="12722" customWidth="1" width="9.140625"/>
    <col min="12723" max="12723" customWidth="1" width="9.140625"/>
    <col min="12724" max="12724" customWidth="1" width="9.140625"/>
    <col min="12725" max="12725" customWidth="1" width="9.140625"/>
    <col min="12726" max="12726" customWidth="1" width="9.140625"/>
    <col min="12727" max="12727" customWidth="1" width="9.140625"/>
    <col min="12728" max="12728" customWidth="1" width="9.140625"/>
    <col min="12729" max="12729" customWidth="1" width="9.140625"/>
    <col min="12730" max="12730" customWidth="1" width="9.140625"/>
    <col min="12731" max="12731" customWidth="1" width="9.140625"/>
    <col min="12732" max="12732" customWidth="1" width="9.140625"/>
    <col min="12733" max="12733" customWidth="1" width="9.140625"/>
    <col min="12734" max="12734" customWidth="1" width="9.140625"/>
    <col min="12735" max="12735" customWidth="1" width="9.140625"/>
    <col min="12736" max="12736" customWidth="1" width="9.140625"/>
    <col min="12737" max="12737" customWidth="1" width="9.140625"/>
    <col min="12738" max="12738" customWidth="1" width="9.140625"/>
    <col min="12739" max="12739" customWidth="1" width="9.140625"/>
    <col min="12740" max="12740" customWidth="1" width="9.140625"/>
    <col min="12741" max="12741" customWidth="1" width="9.140625"/>
    <col min="12742" max="12742" customWidth="1" width="9.140625"/>
    <col min="12743" max="12743" customWidth="1" width="9.140625"/>
    <col min="12744" max="12744" customWidth="1" width="9.140625"/>
    <col min="12745" max="12745" customWidth="1" width="9.140625"/>
    <col min="12746" max="12746" customWidth="1" width="9.140625"/>
    <col min="12747" max="12747" customWidth="1" width="9.140625"/>
    <col min="12748" max="12748" customWidth="1" width="9.140625"/>
    <col min="12749" max="12749" customWidth="1" width="9.140625"/>
    <col min="12750" max="12750" customWidth="1" width="9.140625"/>
    <col min="12751" max="12751" customWidth="1" width="9.140625"/>
    <col min="12752" max="12752" customWidth="1" width="9.140625"/>
    <col min="12753" max="12753" customWidth="1" width="9.140625"/>
    <col min="12754" max="12754" customWidth="1" width="9.140625"/>
    <col min="12755" max="12755" customWidth="1" width="9.140625"/>
    <col min="12756" max="12756" customWidth="1" width="9.140625"/>
    <col min="12757" max="12757" customWidth="1" width="9.140625"/>
    <col min="12758" max="12758" customWidth="1" width="9.140625"/>
    <col min="12759" max="12759" customWidth="1" width="9.140625"/>
    <col min="12760" max="12760" customWidth="1" width="9.140625"/>
    <col min="12761" max="12761" customWidth="1" width="9.140625"/>
    <col min="12762" max="12762" customWidth="1" width="9.140625"/>
    <col min="12763" max="12763" customWidth="1" width="9.140625"/>
    <col min="12764" max="12764" customWidth="1" width="9.140625"/>
    <col min="12765" max="12765" customWidth="1" width="9.140625"/>
    <col min="12766" max="12766" customWidth="1" width="9.140625"/>
    <col min="12767" max="12767" customWidth="1" width="9.140625"/>
    <col min="12768" max="12768" customWidth="1" width="9.140625"/>
    <col min="12769" max="12769" customWidth="1" width="9.140625"/>
    <col min="12770" max="12770" customWidth="1" width="9.140625"/>
    <col min="12771" max="12771" customWidth="1" width="9.140625"/>
    <col min="12772" max="12772" customWidth="1" width="9.140625"/>
    <col min="12773" max="12773" customWidth="1" width="9.140625"/>
    <col min="12774" max="12774" customWidth="1" width="9.140625"/>
    <col min="12775" max="12775" customWidth="1" width="9.140625"/>
    <col min="12776" max="12776" customWidth="1" width="9.140625"/>
    <col min="12777" max="12777" customWidth="1" width="9.140625"/>
    <col min="12778" max="12778" customWidth="1" width="9.140625"/>
    <col min="12779" max="12779" customWidth="1" width="9.140625"/>
    <col min="12780" max="12780" customWidth="1" width="9.140625"/>
    <col min="12781" max="12781" customWidth="1" width="9.140625"/>
    <col min="12782" max="12782" customWidth="1" width="9.140625"/>
    <col min="12783" max="12783" customWidth="1" width="9.140625"/>
    <col min="12784" max="12784" customWidth="1" width="9.140625"/>
    <col min="12785" max="12785" customWidth="1" width="9.140625"/>
    <col min="12786" max="12786" customWidth="1" width="9.140625"/>
    <col min="12787" max="12787" customWidth="1" width="9.140625"/>
    <col min="12788" max="12788" customWidth="1" width="9.140625"/>
    <col min="12789" max="12789" customWidth="1" width="9.140625"/>
    <col min="12790" max="12790" customWidth="1" width="9.140625"/>
    <col min="12791" max="12791" customWidth="1" width="9.140625"/>
    <col min="12792" max="12792" customWidth="1" width="9.140625"/>
    <col min="12793" max="12793" customWidth="1" width="9.140625"/>
    <col min="12794" max="12794" customWidth="1" width="9.140625"/>
    <col min="12795" max="12795" customWidth="1" width="9.140625"/>
    <col min="12796" max="12796" customWidth="1" width="9.140625"/>
    <col min="12797" max="12797" customWidth="1" width="9.140625"/>
    <col min="12798" max="12798" customWidth="1" width="9.140625"/>
    <col min="12799" max="12799" customWidth="1" width="9.140625"/>
    <col min="12800" max="12800" customWidth="1" width="9.140625"/>
    <col min="12801" max="12801" customWidth="1" width="9.140625"/>
    <col min="12802" max="12802" customWidth="1" width="9.140625"/>
    <col min="12803" max="12803" customWidth="1" width="9.140625"/>
    <col min="12804" max="12804" customWidth="1" width="9.140625"/>
    <col min="12805" max="12805" customWidth="1" width="9.140625"/>
    <col min="12806" max="12806" customWidth="1" width="9.140625"/>
    <col min="12807" max="12807" customWidth="1" width="9.140625"/>
    <col min="12808" max="12808" customWidth="1" width="9.140625"/>
    <col min="12809" max="12809" customWidth="1" width="9.140625"/>
    <col min="12810" max="12810" customWidth="1" width="9.140625"/>
    <col min="12811" max="12811" customWidth="1" width="9.140625"/>
    <col min="12812" max="12812" customWidth="1" width="9.140625"/>
    <col min="12813" max="12813" customWidth="1" width="9.140625"/>
    <col min="12814" max="12814" customWidth="1" width="9.140625"/>
    <col min="12815" max="12815" customWidth="1" width="9.140625"/>
    <col min="12816" max="12816" customWidth="1" width="9.140625"/>
    <col min="12817" max="12817" customWidth="1" width="9.140625"/>
    <col min="12818" max="12818" customWidth="1" width="9.140625"/>
    <col min="12819" max="12819" customWidth="1" width="9.140625"/>
    <col min="12820" max="12820" customWidth="1" width="9.140625"/>
    <col min="12821" max="12821" customWidth="1" width="9.140625"/>
    <col min="12822" max="12822" customWidth="1" width="9.140625"/>
    <col min="12823" max="12823" customWidth="1" width="9.140625"/>
    <col min="12824" max="12824" customWidth="1" width="9.140625"/>
    <col min="12825" max="12825" customWidth="1" width="9.140625"/>
    <col min="12826" max="12826" customWidth="1" width="9.140625"/>
    <col min="12827" max="12827" customWidth="1" width="9.140625"/>
    <col min="12828" max="12828" customWidth="1" width="9.140625"/>
    <col min="12829" max="12829" customWidth="1" width="9.140625"/>
    <col min="12830" max="12830" customWidth="1" width="9.140625"/>
    <col min="12831" max="12831" customWidth="1" width="9.140625"/>
    <col min="12832" max="12832" customWidth="1" width="9.140625"/>
    <col min="12833" max="12833" customWidth="1" width="9.140625"/>
    <col min="12834" max="12834" customWidth="1" width="9.140625"/>
    <col min="12835" max="12835" customWidth="1" width="9.140625"/>
    <col min="12836" max="12836" customWidth="1" width="9.140625"/>
    <col min="12837" max="12837" customWidth="1" width="9.140625"/>
    <col min="12838" max="12838" customWidth="1" width="9.140625"/>
    <col min="12839" max="12839" customWidth="1" width="9.140625"/>
    <col min="12840" max="12840" customWidth="1" width="9.140625"/>
    <col min="12841" max="12841" customWidth="1" width="9.140625"/>
    <col min="12842" max="12842" customWidth="1" width="9.140625"/>
    <col min="12843" max="12843" customWidth="1" width="9.140625"/>
    <col min="12844" max="12844" customWidth="1" width="9.140625"/>
    <col min="12845" max="12845" customWidth="1" width="9.140625"/>
    <col min="12846" max="12846" customWidth="1" width="9.140625"/>
    <col min="12847" max="12847" customWidth="1" width="9.140625"/>
    <col min="12848" max="12848" customWidth="1" width="9.140625"/>
    <col min="12849" max="12849" customWidth="1" width="9.140625"/>
    <col min="12850" max="12850" customWidth="1" width="9.140625"/>
    <col min="12851" max="12851" customWidth="1" width="9.140625"/>
    <col min="12852" max="12852" customWidth="1" width="9.140625"/>
    <col min="12853" max="12853" customWidth="1" width="9.140625"/>
    <col min="12854" max="12854" customWidth="1" width="9.140625"/>
    <col min="12855" max="12855" customWidth="1" width="9.140625"/>
    <col min="12856" max="12856" customWidth="1" width="9.140625"/>
    <col min="12857" max="12857" customWidth="1" width="9.140625"/>
    <col min="12858" max="12858" customWidth="1" width="9.140625"/>
    <col min="12859" max="12859" customWidth="1" width="9.140625"/>
    <col min="12860" max="12860" customWidth="1" width="9.140625"/>
    <col min="12861" max="12861" customWidth="1" width="9.140625"/>
    <col min="12862" max="12862" customWidth="1" width="9.140625"/>
    <col min="12863" max="12863" customWidth="1" width="9.140625"/>
    <col min="12864" max="12864" customWidth="1" width="9.140625"/>
    <col min="12865" max="12865" customWidth="1" width="9.140625"/>
    <col min="12866" max="12866" customWidth="1" width="9.140625"/>
    <col min="12867" max="12867" customWidth="1" width="9.140625"/>
    <col min="12868" max="12868" customWidth="1" width="9.140625"/>
    <col min="12869" max="12869" customWidth="1" width="9.140625"/>
    <col min="12870" max="12870" customWidth="1" width="9.140625"/>
    <col min="12871" max="12871" customWidth="1" width="9.140625"/>
    <col min="12872" max="12872" customWidth="1" width="9.140625"/>
    <col min="12873" max="12873" customWidth="1" width="9.140625"/>
    <col min="12874" max="12874" customWidth="1" width="9.140625"/>
    <col min="12875" max="12875" customWidth="1" width="9.140625"/>
    <col min="12876" max="12876" customWidth="1" width="9.140625"/>
    <col min="12877" max="12877" customWidth="1" width="9.140625"/>
    <col min="12878" max="12878" customWidth="1" width="9.140625"/>
    <col min="12879" max="12879" customWidth="1" width="9.140625"/>
    <col min="12880" max="12880" customWidth="1" width="9.140625"/>
    <col min="12881" max="12881" customWidth="1" width="9.140625"/>
    <col min="12882" max="12882" customWidth="1" width="9.140625"/>
    <col min="12883" max="12883" customWidth="1" width="9.140625"/>
    <col min="12884" max="12884" customWidth="1" width="9.140625"/>
    <col min="12885" max="12885" customWidth="1" width="9.140625"/>
    <col min="12886" max="12886" customWidth="1" width="9.140625"/>
    <col min="12887" max="12887" customWidth="1" width="9.140625"/>
    <col min="12888" max="12888" customWidth="1" width="9.140625"/>
    <col min="12889" max="12889" customWidth="1" width="9.140625"/>
    <col min="12890" max="12890" customWidth="1" width="9.140625"/>
    <col min="12891" max="12891" customWidth="1" width="9.140625"/>
    <col min="12892" max="12892" customWidth="1" width="9.140625"/>
    <col min="12893" max="12893" customWidth="1" width="9.140625"/>
    <col min="12894" max="12894" customWidth="1" width="9.140625"/>
    <col min="12895" max="12895" customWidth="1" width="9.140625"/>
    <col min="12896" max="12896" customWidth="1" width="9.140625"/>
    <col min="12897" max="12897" customWidth="1" width="9.140625"/>
    <col min="12898" max="12898" customWidth="1" width="9.140625"/>
    <col min="12899" max="12899" customWidth="1" width="9.140625"/>
    <col min="12900" max="12900" customWidth="1" width="9.140625"/>
    <col min="12901" max="12901" customWidth="1" width="9.140625"/>
    <col min="12902" max="12902" customWidth="1" width="9.140625"/>
    <col min="12903" max="12903" customWidth="1" width="9.140625"/>
    <col min="12904" max="12904" customWidth="1" width="9.140625"/>
    <col min="12905" max="12905" customWidth="1" width="9.140625"/>
    <col min="12906" max="12906" customWidth="1" width="9.140625"/>
    <col min="12907" max="12907" customWidth="1" width="9.140625"/>
    <col min="12908" max="12908" customWidth="1" width="9.140625"/>
    <col min="12909" max="12909" customWidth="1" width="9.140625"/>
    <col min="12910" max="12910" customWidth="1" width="9.140625"/>
    <col min="12911" max="12911" customWidth="1" width="9.140625"/>
    <col min="12912" max="12912" customWidth="1" width="9.140625"/>
    <col min="12913" max="12913" customWidth="1" width="9.140625"/>
    <col min="12914" max="12914" customWidth="1" width="9.140625"/>
    <col min="12915" max="12915" customWidth="1" width="9.140625"/>
    <col min="12916" max="12916" customWidth="1" width="9.140625"/>
    <col min="12917" max="12917" customWidth="1" width="9.140625"/>
    <col min="12918" max="12918" customWidth="1" width="9.140625"/>
    <col min="12919" max="12919" customWidth="1" width="9.140625"/>
    <col min="12920" max="12920" customWidth="1" width="9.140625"/>
    <col min="12921" max="12921" customWidth="1" width="9.140625"/>
    <col min="12922" max="12922" customWidth="1" width="9.140625"/>
    <col min="12923" max="12923" customWidth="1" width="9.140625"/>
    <col min="12924" max="12924" customWidth="1" width="9.140625"/>
    <col min="12925" max="12925" customWidth="1" width="9.140625"/>
    <col min="12926" max="12926" customWidth="1" width="9.140625"/>
    <col min="12927" max="12927" customWidth="1" width="9.140625"/>
    <col min="12928" max="12928" customWidth="1" width="9.140625"/>
    <col min="12929" max="12929" customWidth="1" width="9.140625"/>
    <col min="12930" max="12930" customWidth="1" width="9.140625"/>
    <col min="12931" max="12931" customWidth="1" width="9.140625"/>
    <col min="12932" max="12932" customWidth="1" width="9.140625"/>
    <col min="12933" max="12933" customWidth="1" width="9.140625"/>
    <col min="12934" max="12934" customWidth="1" width="9.140625"/>
    <col min="12935" max="12935" customWidth="1" width="9.140625"/>
    <col min="12936" max="12936" customWidth="1" width="9.140625"/>
    <col min="12937" max="12937" customWidth="1" width="9.140625"/>
    <col min="12938" max="12938" customWidth="1" width="9.140625"/>
    <col min="12939" max="12939" customWidth="1" width="9.140625"/>
    <col min="12940" max="12940" customWidth="1" width="9.140625"/>
    <col min="12941" max="12941" customWidth="1" width="9.140625"/>
    <col min="12942" max="12942" customWidth="1" width="9.140625"/>
    <col min="12943" max="12943" customWidth="1" width="9.140625"/>
    <col min="12944" max="12944" customWidth="1" width="9.140625"/>
    <col min="12945" max="12945" customWidth="1" width="9.140625"/>
    <col min="12946" max="12946" customWidth="1" width="9.140625"/>
    <col min="12947" max="12947" customWidth="1" width="9.140625"/>
    <col min="12948" max="12948" customWidth="1" width="9.140625"/>
    <col min="12949" max="12949" customWidth="1" width="9.140625"/>
    <col min="12950" max="12950" customWidth="1" width="9.140625"/>
    <col min="12951" max="12951" customWidth="1" width="9.140625"/>
    <col min="12952" max="12952" customWidth="1" width="9.140625"/>
    <col min="12953" max="12953" customWidth="1" width="9.140625"/>
    <col min="12954" max="12954" customWidth="1" width="9.140625"/>
    <col min="12955" max="12955" customWidth="1" width="9.140625"/>
    <col min="12956" max="12956" customWidth="1" width="9.140625"/>
    <col min="12957" max="12957" customWidth="1" width="9.140625"/>
    <col min="12958" max="12958" customWidth="1" width="9.140625"/>
    <col min="12959" max="12959" customWidth="1" width="9.140625"/>
    <col min="12960" max="12960" customWidth="1" width="9.140625"/>
    <col min="12961" max="12961" customWidth="1" width="9.140625"/>
    <col min="12962" max="12962" customWidth="1" width="9.140625"/>
    <col min="12963" max="12963" customWidth="1" width="9.140625"/>
    <col min="12964" max="12964" customWidth="1" width="9.140625"/>
    <col min="12965" max="12965" customWidth="1" width="9.140625"/>
    <col min="12966" max="12966" customWidth="1" width="9.140625"/>
    <col min="12967" max="12967" customWidth="1" width="9.140625"/>
    <col min="12968" max="12968" customWidth="1" width="9.140625"/>
    <col min="12969" max="12969" customWidth="1" width="9.140625"/>
    <col min="12970" max="12970" customWidth="1" width="9.140625"/>
    <col min="12971" max="12971" customWidth="1" width="9.140625"/>
    <col min="12972" max="12972" customWidth="1" width="9.140625"/>
    <col min="12973" max="12973" customWidth="1" width="9.140625"/>
    <col min="12974" max="12974" customWidth="1" width="9.140625"/>
    <col min="12975" max="12975" customWidth="1" width="9.140625"/>
    <col min="12976" max="12976" customWidth="1" width="9.140625"/>
    <col min="12977" max="12977" customWidth="1" width="9.140625"/>
    <col min="12978" max="12978" customWidth="1" width="9.140625"/>
    <col min="12979" max="12979" customWidth="1" width="9.140625"/>
    <col min="12980" max="12980" customWidth="1" width="9.140625"/>
    <col min="12981" max="12981" customWidth="1" width="9.140625"/>
    <col min="12982" max="12982" customWidth="1" width="9.140625"/>
    <col min="12983" max="12983" customWidth="1" width="9.140625"/>
    <col min="12984" max="12984" customWidth="1" width="9.140625"/>
    <col min="12985" max="12985" customWidth="1" width="9.140625"/>
    <col min="12986" max="12986" customWidth="1" width="9.140625"/>
    <col min="12987" max="12987" customWidth="1" width="9.140625"/>
    <col min="12988" max="12988" customWidth="1" width="9.140625"/>
    <col min="12989" max="12989" customWidth="1" width="9.140625"/>
    <col min="12990" max="12990" customWidth="1" width="9.140625"/>
    <col min="12991" max="12991" customWidth="1" width="9.140625"/>
    <col min="12992" max="12992" customWidth="1" width="9.140625"/>
    <col min="12993" max="12993" customWidth="1" width="9.140625"/>
    <col min="12994" max="12994" customWidth="1" width="9.140625"/>
    <col min="12995" max="12995" customWidth="1" width="9.140625"/>
    <col min="12996" max="12996" customWidth="1" width="9.140625"/>
    <col min="12997" max="12997" customWidth="1" width="9.140625"/>
    <col min="12998" max="12998" customWidth="1" width="9.140625"/>
    <col min="12999" max="12999" customWidth="1" width="9.140625"/>
    <col min="13000" max="13000" customWidth="1" width="9.140625"/>
    <col min="13001" max="13001" customWidth="1" width="9.140625"/>
    <col min="13002" max="13002" customWidth="1" width="9.140625"/>
    <col min="13003" max="13003" customWidth="1" width="9.140625"/>
    <col min="13004" max="13004" customWidth="1" width="9.140625"/>
    <col min="13005" max="13005" customWidth="1" width="9.140625"/>
    <col min="13006" max="13006" customWidth="1" width="9.140625"/>
    <col min="13007" max="13007" customWidth="1" width="9.140625"/>
    <col min="13008" max="13008" customWidth="1" width="9.140625"/>
    <col min="13009" max="13009" customWidth="1" width="9.140625"/>
    <col min="13010" max="13010" customWidth="1" width="9.140625"/>
    <col min="13011" max="13011" customWidth="1" width="9.140625"/>
    <col min="13012" max="13012" customWidth="1" width="9.140625"/>
    <col min="13013" max="13013" customWidth="1" width="9.140625"/>
    <col min="13014" max="13014" customWidth="1" width="9.140625"/>
    <col min="13015" max="13015" customWidth="1" width="9.140625"/>
    <col min="13016" max="13016" customWidth="1" width="9.140625"/>
    <col min="13017" max="13017" customWidth="1" width="9.140625"/>
    <col min="13018" max="13018" customWidth="1" width="9.140625"/>
    <col min="13019" max="13019" customWidth="1" width="9.140625"/>
    <col min="13020" max="13020" customWidth="1" width="9.140625"/>
    <col min="13021" max="13021" customWidth="1" width="9.140625"/>
    <col min="13022" max="13022" customWidth="1" width="9.140625"/>
    <col min="13023" max="13023" customWidth="1" width="9.140625"/>
    <col min="13024" max="13024" customWidth="1" width="9.140625"/>
    <col min="13025" max="13025" customWidth="1" width="9.140625"/>
    <col min="13026" max="13026" customWidth="1" width="9.140625"/>
    <col min="13027" max="13027" customWidth="1" width="9.140625"/>
    <col min="13028" max="13028" customWidth="1" width="9.140625"/>
    <col min="13029" max="13029" customWidth="1" width="9.140625"/>
    <col min="13030" max="13030" customWidth="1" width="9.140625"/>
    <col min="13031" max="13031" customWidth="1" width="9.140625"/>
    <col min="13032" max="13032" customWidth="1" width="9.140625"/>
    <col min="13033" max="13033" customWidth="1" width="9.140625"/>
    <col min="13034" max="13034" customWidth="1" width="9.140625"/>
    <col min="13035" max="13035" customWidth="1" width="9.140625"/>
    <col min="13036" max="13036" customWidth="1" width="9.140625"/>
    <col min="13037" max="13037" customWidth="1" width="9.140625"/>
    <col min="13038" max="13038" customWidth="1" width="9.140625"/>
    <col min="13039" max="13039" customWidth="1" width="9.140625"/>
    <col min="13040" max="13040" customWidth="1" width="9.140625"/>
    <col min="13041" max="13041" customWidth="1" width="9.140625"/>
    <col min="13042" max="13042" customWidth="1" width="9.140625"/>
    <col min="13043" max="13043" customWidth="1" width="9.140625"/>
    <col min="13044" max="13044" customWidth="1" width="9.140625"/>
    <col min="13045" max="13045" customWidth="1" width="9.140625"/>
    <col min="13046" max="13046" customWidth="1" width="9.140625"/>
    <col min="13047" max="13047" customWidth="1" width="9.140625"/>
    <col min="13048" max="13048" customWidth="1" width="9.140625"/>
    <col min="13049" max="13049" customWidth="1" width="9.140625"/>
    <col min="13050" max="13050" customWidth="1" width="9.140625"/>
    <col min="13051" max="13051" customWidth="1" width="9.140625"/>
    <col min="13052" max="13052" customWidth="1" width="9.140625"/>
    <col min="13053" max="13053" customWidth="1" width="9.140625"/>
    <col min="13054" max="13054" customWidth="1" width="9.140625"/>
    <col min="13055" max="13055" customWidth="1" width="9.140625"/>
    <col min="13056" max="13056" customWidth="1" width="9.140625"/>
    <col min="13057" max="13057" customWidth="1" width="9.140625"/>
    <col min="13058" max="13058" customWidth="1" width="9.140625"/>
    <col min="13059" max="13059" customWidth="1" width="9.140625"/>
    <col min="13060" max="13060" customWidth="1" width="9.140625"/>
    <col min="13061" max="13061" customWidth="1" width="9.140625"/>
    <col min="13062" max="13062" customWidth="1" width="9.140625"/>
    <col min="13063" max="13063" customWidth="1" width="9.140625"/>
    <col min="13064" max="13064" customWidth="1" width="9.140625"/>
    <col min="13065" max="13065" customWidth="1" width="9.140625"/>
    <col min="13066" max="13066" customWidth="1" width="9.140625"/>
    <col min="13067" max="13067" customWidth="1" width="9.140625"/>
    <col min="13068" max="13068" customWidth="1" width="9.140625"/>
    <col min="13069" max="13069" customWidth="1" width="9.140625"/>
    <col min="13070" max="13070" customWidth="1" width="9.140625"/>
    <col min="13071" max="13071" customWidth="1" width="9.140625"/>
    <col min="13072" max="13072" customWidth="1" width="9.140625"/>
    <col min="13073" max="13073" customWidth="1" width="9.140625"/>
    <col min="13074" max="13074" customWidth="1" width="9.140625"/>
    <col min="13075" max="13075" customWidth="1" width="9.140625"/>
    <col min="13076" max="13076" customWidth="1" width="9.140625"/>
    <col min="13077" max="13077" customWidth="1" width="9.140625"/>
    <col min="13078" max="13078" customWidth="1" width="9.140625"/>
    <col min="13079" max="13079" customWidth="1" width="9.140625"/>
    <col min="13080" max="13080" customWidth="1" width="9.140625"/>
    <col min="13081" max="13081" customWidth="1" width="9.140625"/>
    <col min="13082" max="13082" customWidth="1" width="9.140625"/>
    <col min="13083" max="13083" customWidth="1" width="9.140625"/>
    <col min="13084" max="13084" customWidth="1" width="9.140625"/>
    <col min="13085" max="13085" customWidth="1" width="9.140625"/>
    <col min="13086" max="13086" customWidth="1" width="9.140625"/>
    <col min="13087" max="13087" customWidth="1" width="9.140625"/>
    <col min="13088" max="13088" customWidth="1" width="9.140625"/>
    <col min="13089" max="13089" customWidth="1" width="9.140625"/>
    <col min="13090" max="13090" customWidth="1" width="9.140625"/>
    <col min="13091" max="13091" customWidth="1" width="9.140625"/>
    <col min="13092" max="13092" customWidth="1" width="9.140625"/>
    <col min="13093" max="13093" customWidth="1" width="9.140625"/>
    <col min="13094" max="13094" customWidth="1" width="9.140625"/>
    <col min="13095" max="13095" customWidth="1" width="9.140625"/>
    <col min="13096" max="13096" customWidth="1" width="9.140625"/>
    <col min="13097" max="13097" customWidth="1" width="9.140625"/>
    <col min="13098" max="13098" customWidth="1" width="9.140625"/>
    <col min="13099" max="13099" customWidth="1" width="9.140625"/>
    <col min="13100" max="13100" customWidth="1" width="9.140625"/>
    <col min="13101" max="13101" customWidth="1" width="9.140625"/>
    <col min="13102" max="13102" customWidth="1" width="9.140625"/>
    <col min="13103" max="13103" customWidth="1" width="9.140625"/>
    <col min="13104" max="13104" customWidth="1" width="9.140625"/>
    <col min="13105" max="13105" customWidth="1" width="9.140625"/>
    <col min="13106" max="13106" customWidth="1" width="9.140625"/>
    <col min="13107" max="13107" customWidth="1" width="9.140625"/>
    <col min="13108" max="13108" customWidth="1" width="9.140625"/>
    <col min="13109" max="13109" customWidth="1" width="9.140625"/>
    <col min="13110" max="13110" customWidth="1" width="9.140625"/>
    <col min="13111" max="13111" customWidth="1" width="9.140625"/>
    <col min="13112" max="13112" customWidth="1" width="9.140625"/>
    <col min="13113" max="13113" customWidth="1" width="9.140625"/>
    <col min="13114" max="13114" customWidth="1" width="9.140625"/>
    <col min="13115" max="13115" customWidth="1" width="9.140625"/>
    <col min="13116" max="13116" customWidth="1" width="9.140625"/>
    <col min="13117" max="13117" customWidth="1" width="9.140625"/>
    <col min="13118" max="13118" customWidth="1" width="9.140625"/>
    <col min="13119" max="13119" customWidth="1" width="9.140625"/>
    <col min="13120" max="13120" customWidth="1" width="9.140625"/>
    <col min="13121" max="13121" customWidth="1" width="9.140625"/>
    <col min="13122" max="13122" customWidth="1" width="9.140625"/>
    <col min="13123" max="13123" customWidth="1" width="9.140625"/>
    <col min="13124" max="13124" customWidth="1" width="9.140625"/>
    <col min="13125" max="13125" customWidth="1" width="9.140625"/>
    <col min="13126" max="13126" customWidth="1" width="9.140625"/>
    <col min="13127" max="13127" customWidth="1" width="9.140625"/>
    <col min="13128" max="13128" customWidth="1" width="9.140625"/>
    <col min="13129" max="13129" customWidth="1" width="9.140625"/>
    <col min="13130" max="13130" customWidth="1" width="9.140625"/>
    <col min="13131" max="13131" customWidth="1" width="9.140625"/>
    <col min="13132" max="13132" customWidth="1" width="9.140625"/>
    <col min="13133" max="13133" customWidth="1" width="9.140625"/>
    <col min="13134" max="13134" customWidth="1" width="9.140625"/>
    <col min="13135" max="13135" customWidth="1" width="9.140625"/>
    <col min="13136" max="13136" customWidth="1" width="9.140625"/>
    <col min="13137" max="13137" customWidth="1" width="9.140625"/>
    <col min="13138" max="13138" customWidth="1" width="9.140625"/>
    <col min="13139" max="13139" customWidth="1" width="9.140625"/>
    <col min="13140" max="13140" customWidth="1" width="9.140625"/>
    <col min="13141" max="13141" customWidth="1" width="9.140625"/>
    <col min="13142" max="13142" customWidth="1" width="9.140625"/>
    <col min="13143" max="13143" customWidth="1" width="9.140625"/>
    <col min="13144" max="13144" customWidth="1" width="9.140625"/>
    <col min="13145" max="13145" customWidth="1" width="9.140625"/>
    <col min="13146" max="13146" customWidth="1" width="9.140625"/>
    <col min="13147" max="13147" customWidth="1" width="9.140625"/>
    <col min="13148" max="13148" customWidth="1" width="9.140625"/>
    <col min="13149" max="13149" customWidth="1" width="9.140625"/>
    <col min="13150" max="13150" customWidth="1" width="9.140625"/>
    <col min="13151" max="13151" customWidth="1" width="9.140625"/>
    <col min="13152" max="13152" customWidth="1" width="9.140625"/>
    <col min="13153" max="13153" customWidth="1" width="9.140625"/>
    <col min="13154" max="13154" customWidth="1" width="9.140625"/>
    <col min="13155" max="13155" customWidth="1" width="9.140625"/>
    <col min="13156" max="13156" customWidth="1" width="9.140625"/>
    <col min="13157" max="13157" customWidth="1" width="9.140625"/>
    <col min="13158" max="13158" customWidth="1" width="9.140625"/>
    <col min="13159" max="13159" customWidth="1" width="9.140625"/>
    <col min="13160" max="13160" customWidth="1" width="9.140625"/>
    <col min="13161" max="13161" customWidth="1" width="9.140625"/>
    <col min="13162" max="13162" customWidth="1" width="9.140625"/>
    <col min="13163" max="13163" customWidth="1" width="9.140625"/>
    <col min="13164" max="13164" customWidth="1" width="9.140625"/>
    <col min="13165" max="13165" customWidth="1" width="9.140625"/>
    <col min="13166" max="13166" customWidth="1" width="9.140625"/>
    <col min="13167" max="13167" customWidth="1" width="9.140625"/>
    <col min="13168" max="13168" customWidth="1" width="9.140625"/>
    <col min="13169" max="13169" customWidth="1" width="9.140625"/>
    <col min="13170" max="13170" customWidth="1" width="9.140625"/>
    <col min="13171" max="13171" customWidth="1" width="9.140625"/>
    <col min="13172" max="13172" customWidth="1" width="9.140625"/>
    <col min="13173" max="13173" customWidth="1" width="9.140625"/>
    <col min="13174" max="13174" customWidth="1" width="9.140625"/>
    <col min="13175" max="13175" customWidth="1" width="9.140625"/>
    <col min="13176" max="13176" customWidth="1" width="9.140625"/>
    <col min="13177" max="13177" customWidth="1" width="9.140625"/>
    <col min="13178" max="13178" customWidth="1" width="9.140625"/>
    <col min="13179" max="13179" customWidth="1" width="9.140625"/>
    <col min="13180" max="13180" customWidth="1" width="9.140625"/>
    <col min="13181" max="13181" customWidth="1" width="9.140625"/>
    <col min="13182" max="13182" customWidth="1" width="9.140625"/>
    <col min="13183" max="13183" customWidth="1" width="9.140625"/>
    <col min="13184" max="13184" customWidth="1" width="9.140625"/>
    <col min="13185" max="13185" customWidth="1" width="9.140625"/>
    <col min="13186" max="13186" customWidth="1" width="9.140625"/>
    <col min="13187" max="13187" customWidth="1" width="9.140625"/>
    <col min="13188" max="13188" customWidth="1" width="9.140625"/>
    <col min="13189" max="13189" customWidth="1" width="9.140625"/>
    <col min="13190" max="13190" customWidth="1" width="9.140625"/>
    <col min="13191" max="13191" customWidth="1" width="9.140625"/>
    <col min="13192" max="13192" customWidth="1" width="9.140625"/>
    <col min="13193" max="13193" customWidth="1" width="9.140625"/>
    <col min="13194" max="13194" customWidth="1" width="9.140625"/>
    <col min="13195" max="13195" customWidth="1" width="9.140625"/>
    <col min="13196" max="13196" customWidth="1" width="9.140625"/>
    <col min="13197" max="13197" customWidth="1" width="9.140625"/>
    <col min="13198" max="13198" customWidth="1" width="9.140625"/>
    <col min="13199" max="13199" customWidth="1" width="9.140625"/>
    <col min="13200" max="13200" customWidth="1" width="9.140625"/>
    <col min="13201" max="13201" customWidth="1" width="9.140625"/>
    <col min="13202" max="13202" customWidth="1" width="9.140625"/>
    <col min="13203" max="13203" customWidth="1" width="9.140625"/>
    <col min="13204" max="13204" customWidth="1" width="9.140625"/>
    <col min="13205" max="13205" customWidth="1" width="9.140625"/>
    <col min="13206" max="13206" customWidth="1" width="9.140625"/>
    <col min="13207" max="13207" customWidth="1" width="9.140625"/>
    <col min="13208" max="13208" customWidth="1" width="9.140625"/>
    <col min="13209" max="13209" customWidth="1" width="9.140625"/>
    <col min="13210" max="13210" customWidth="1" width="9.140625"/>
    <col min="13211" max="13211" customWidth="1" width="9.140625"/>
    <col min="13212" max="13212" customWidth="1" width="9.140625"/>
    <col min="13213" max="13213" customWidth="1" width="9.140625"/>
    <col min="13214" max="13214" customWidth="1" width="9.140625"/>
    <col min="13215" max="13215" customWidth="1" width="9.140625"/>
    <col min="13216" max="13216" customWidth="1" width="9.140625"/>
    <col min="13217" max="13217" customWidth="1" width="9.140625"/>
    <col min="13218" max="13218" customWidth="1" width="9.140625"/>
    <col min="13219" max="13219" customWidth="1" width="9.140625"/>
    <col min="13220" max="13220" customWidth="1" width="9.140625"/>
    <col min="13221" max="13221" customWidth="1" width="9.140625"/>
    <col min="13222" max="13222" customWidth="1" width="9.140625"/>
    <col min="13223" max="13223" customWidth="1" width="9.140625"/>
    <col min="13224" max="13224" customWidth="1" width="9.140625"/>
    <col min="13225" max="13225" customWidth="1" width="9.140625"/>
    <col min="13226" max="13226" customWidth="1" width="9.140625"/>
    <col min="13227" max="13227" customWidth="1" width="9.140625"/>
    <col min="13228" max="13228" customWidth="1" width="9.140625"/>
    <col min="13229" max="13229" customWidth="1" width="9.140625"/>
    <col min="13230" max="13230" customWidth="1" width="9.140625"/>
    <col min="13231" max="13231" customWidth="1" width="9.140625"/>
    <col min="13232" max="13232" customWidth="1" width="9.140625"/>
    <col min="13233" max="13233" customWidth="1" width="9.140625"/>
    <col min="13234" max="13234" customWidth="1" width="9.140625"/>
    <col min="13235" max="13235" customWidth="1" width="9.140625"/>
    <col min="13236" max="13236" customWidth="1" width="9.140625"/>
    <col min="13237" max="13237" customWidth="1" width="9.140625"/>
    <col min="13238" max="13238" customWidth="1" width="9.140625"/>
    <col min="13239" max="13239" customWidth="1" width="9.140625"/>
    <col min="13240" max="13240" customWidth="1" width="9.140625"/>
    <col min="13241" max="13241" customWidth="1" width="9.140625"/>
    <col min="13242" max="13242" customWidth="1" width="9.140625"/>
    <col min="13243" max="13243" customWidth="1" width="9.140625"/>
    <col min="13244" max="13244" customWidth="1" width="9.140625"/>
    <col min="13245" max="13245" customWidth="1" width="9.140625"/>
    <col min="13246" max="13246" customWidth="1" width="9.140625"/>
    <col min="13247" max="13247" customWidth="1" width="9.140625"/>
    <col min="13248" max="13248" customWidth="1" width="9.140625"/>
    <col min="13249" max="13249" customWidth="1" width="9.140625"/>
    <col min="13250" max="13250" customWidth="1" width="9.140625"/>
    <col min="13251" max="13251" customWidth="1" width="9.140625"/>
    <col min="13252" max="13252" customWidth="1" width="9.140625"/>
    <col min="13253" max="13253" customWidth="1" width="9.140625"/>
    <col min="13254" max="13254" customWidth="1" width="9.140625"/>
    <col min="13255" max="13255" customWidth="1" width="9.140625"/>
    <col min="13256" max="13256" customWidth="1" width="9.140625"/>
    <col min="13257" max="13257" customWidth="1" width="9.140625"/>
    <col min="13258" max="13258" customWidth="1" width="9.140625"/>
    <col min="13259" max="13259" customWidth="1" width="9.140625"/>
    <col min="13260" max="13260" customWidth="1" width="9.140625"/>
    <col min="13261" max="13261" customWidth="1" width="9.140625"/>
    <col min="13262" max="13262" customWidth="1" width="9.140625"/>
    <col min="13263" max="13263" customWidth="1" width="9.140625"/>
    <col min="13264" max="13264" customWidth="1" width="9.140625"/>
    <col min="13265" max="13265" customWidth="1" width="9.140625"/>
    <col min="13266" max="13266" customWidth="1" width="9.140625"/>
    <col min="13267" max="13267" customWidth="1" width="9.140625"/>
    <col min="13268" max="13268" customWidth="1" width="9.140625"/>
    <col min="13269" max="13269" customWidth="1" width="9.140625"/>
    <col min="13270" max="13270" customWidth="1" width="9.140625"/>
    <col min="13271" max="13271" customWidth="1" width="9.140625"/>
    <col min="13272" max="13272" customWidth="1" width="9.140625"/>
    <col min="13273" max="13273" customWidth="1" width="9.140625"/>
    <col min="13274" max="13274" customWidth="1" width="9.140625"/>
    <col min="13275" max="13275" customWidth="1" width="9.140625"/>
    <col min="13276" max="13276" customWidth="1" width="9.140625"/>
    <col min="13277" max="13277" customWidth="1" width="9.140625"/>
    <col min="13278" max="13278" customWidth="1" width="9.140625"/>
    <col min="13279" max="13279" customWidth="1" width="9.140625"/>
    <col min="13280" max="13280" customWidth="1" width="9.140625"/>
    <col min="13281" max="13281" customWidth="1" width="9.140625"/>
    <col min="13282" max="13282" customWidth="1" width="9.140625"/>
    <col min="13283" max="13283" customWidth="1" width="9.140625"/>
    <col min="13284" max="13284" customWidth="1" width="9.140625"/>
    <col min="13285" max="13285" customWidth="1" width="9.140625"/>
    <col min="13286" max="13286" customWidth="1" width="9.140625"/>
    <col min="13287" max="13287" customWidth="1" width="9.140625"/>
    <col min="13288" max="13288" customWidth="1" width="9.140625"/>
    <col min="13289" max="13289" customWidth="1" width="9.140625"/>
    <col min="13290" max="13290" customWidth="1" width="9.140625"/>
    <col min="13291" max="13291" customWidth="1" width="9.140625"/>
    <col min="13292" max="13292" customWidth="1" width="9.140625"/>
    <col min="13293" max="13293" customWidth="1" width="9.140625"/>
    <col min="13294" max="13294" customWidth="1" width="9.140625"/>
    <col min="13295" max="13295" customWidth="1" width="9.140625"/>
    <col min="13296" max="13296" customWidth="1" width="9.140625"/>
    <col min="13297" max="13297" customWidth="1" width="9.140625"/>
    <col min="13298" max="13298" customWidth="1" width="9.140625"/>
    <col min="13299" max="13299" customWidth="1" width="9.140625"/>
    <col min="13300" max="13300" customWidth="1" width="9.140625"/>
    <col min="13301" max="13301" customWidth="1" width="9.140625"/>
    <col min="13302" max="13302" customWidth="1" width="9.140625"/>
    <col min="13303" max="13303" customWidth="1" width="9.140625"/>
    <col min="13304" max="13304" customWidth="1" width="9.140625"/>
    <col min="13305" max="13305" customWidth="1" width="9.140625"/>
    <col min="13306" max="13306" customWidth="1" width="9.140625"/>
    <col min="13307" max="13307" customWidth="1" width="9.140625"/>
    <col min="13308" max="13308" customWidth="1" width="9.140625"/>
    <col min="13309" max="13309" customWidth="1" width="9.140625"/>
    <col min="13310" max="13310" customWidth="1" width="9.140625"/>
    <col min="13311" max="13311" customWidth="1" width="9.140625"/>
    <col min="13312" max="13312" customWidth="1" width="9.140625"/>
    <col min="13313" max="13313" customWidth="1" width="9.140625"/>
    <col min="13314" max="13314" customWidth="1" width="9.140625"/>
    <col min="13315" max="13315" customWidth="1" width="9.140625"/>
    <col min="13316" max="13316" customWidth="1" width="9.140625"/>
    <col min="13317" max="13317" customWidth="1" width="9.140625"/>
    <col min="13318" max="13318" customWidth="1" width="9.140625"/>
    <col min="13319" max="13319" customWidth="1" width="9.140625"/>
    <col min="13320" max="13320" customWidth="1" width="9.140625"/>
    <col min="13321" max="13321" customWidth="1" width="9.140625"/>
    <col min="13322" max="13322" customWidth="1" width="9.140625"/>
    <col min="13323" max="13323" customWidth="1" width="9.140625"/>
    <col min="13324" max="13324" customWidth="1" width="9.140625"/>
    <col min="13325" max="13325" customWidth="1" width="9.140625"/>
    <col min="13326" max="13326" customWidth="1" width="9.140625"/>
    <col min="13327" max="13327" customWidth="1" width="9.140625"/>
    <col min="13328" max="13328" customWidth="1" width="9.140625"/>
    <col min="13329" max="13329" customWidth="1" width="9.140625"/>
    <col min="13330" max="13330" customWidth="1" width="9.140625"/>
    <col min="13331" max="13331" customWidth="1" width="9.140625"/>
    <col min="13332" max="13332" customWidth="1" width="9.140625"/>
    <col min="13333" max="13333" customWidth="1" width="9.140625"/>
    <col min="13334" max="13334" customWidth="1" width="9.140625"/>
    <col min="13335" max="13335" customWidth="1" width="9.140625"/>
    <col min="13336" max="13336" customWidth="1" width="9.140625"/>
    <col min="13337" max="13337" customWidth="1" width="9.140625"/>
    <col min="13338" max="13338" customWidth="1" width="9.140625"/>
    <col min="13339" max="13339" customWidth="1" width="9.140625"/>
    <col min="13340" max="13340" customWidth="1" width="9.140625"/>
    <col min="13341" max="13341" customWidth="1" width="9.140625"/>
    <col min="13342" max="13342" customWidth="1" width="9.140625"/>
    <col min="13343" max="13343" customWidth="1" width="9.140625"/>
    <col min="13344" max="13344" customWidth="1" width="9.140625"/>
    <col min="13345" max="13345" customWidth="1" width="9.140625"/>
    <col min="13346" max="13346" customWidth="1" width="9.140625"/>
    <col min="13347" max="13347" customWidth="1" width="9.140625"/>
    <col min="13348" max="13348" customWidth="1" width="9.140625"/>
    <col min="13349" max="13349" customWidth="1" width="9.140625"/>
    <col min="13350" max="13350" customWidth="1" width="9.140625"/>
    <col min="13351" max="13351" customWidth="1" width="9.140625"/>
    <col min="13352" max="13352" customWidth="1" width="9.140625"/>
    <col min="13353" max="13353" customWidth="1" width="9.140625"/>
    <col min="13354" max="13354" customWidth="1" width="9.140625"/>
    <col min="13355" max="13355" customWidth="1" width="9.140625"/>
    <col min="13356" max="13356" customWidth="1" width="9.140625"/>
    <col min="13357" max="13357" customWidth="1" width="9.140625"/>
    <col min="13358" max="13358" customWidth="1" width="9.140625"/>
    <col min="13359" max="13359" customWidth="1" width="9.140625"/>
    <col min="13360" max="13360" customWidth="1" width="9.140625"/>
    <col min="13361" max="13361" customWidth="1" width="9.140625"/>
    <col min="13362" max="13362" customWidth="1" width="9.140625"/>
    <col min="13363" max="13363" customWidth="1" width="9.140625"/>
    <col min="13364" max="13364" customWidth="1" width="9.140625"/>
    <col min="13365" max="13365" customWidth="1" width="9.140625"/>
    <col min="13366" max="13366" customWidth="1" width="9.140625"/>
    <col min="13367" max="13367" customWidth="1" width="9.140625"/>
    <col min="13368" max="13368" customWidth="1" width="9.140625"/>
    <col min="13369" max="13369" customWidth="1" width="9.140625"/>
    <col min="13370" max="13370" customWidth="1" width="9.140625"/>
    <col min="13371" max="13371" customWidth="1" width="9.140625"/>
    <col min="13372" max="13372" customWidth="1" width="9.140625"/>
    <col min="13373" max="13373" customWidth="1" width="9.140625"/>
    <col min="13374" max="13374" customWidth="1" width="9.140625"/>
    <col min="13375" max="13375" customWidth="1" width="9.140625"/>
    <col min="13376" max="13376" customWidth="1" width="9.140625"/>
    <col min="13377" max="13377" customWidth="1" width="9.140625"/>
    <col min="13378" max="13378" customWidth="1" width="9.140625"/>
    <col min="13379" max="13379" customWidth="1" width="9.140625"/>
    <col min="13380" max="13380" customWidth="1" width="9.140625"/>
    <col min="13381" max="13381" customWidth="1" width="9.140625"/>
    <col min="13382" max="13382" customWidth="1" width="9.140625"/>
    <col min="13383" max="13383" customWidth="1" width="9.140625"/>
    <col min="13384" max="13384" customWidth="1" width="9.140625"/>
    <col min="13385" max="13385" customWidth="1" width="9.140625"/>
    <col min="13386" max="13386" customWidth="1" width="9.140625"/>
    <col min="13387" max="13387" customWidth="1" width="9.140625"/>
    <col min="13388" max="13388" customWidth="1" width="9.140625"/>
    <col min="13389" max="13389" customWidth="1" width="9.140625"/>
    <col min="13390" max="13390" customWidth="1" width="9.140625"/>
    <col min="13391" max="13391" customWidth="1" width="9.140625"/>
    <col min="13392" max="13392" customWidth="1" width="9.140625"/>
    <col min="13393" max="13393" customWidth="1" width="9.140625"/>
    <col min="13394" max="13394" customWidth="1" width="9.140625"/>
    <col min="13395" max="13395" customWidth="1" width="9.140625"/>
    <col min="13396" max="13396" customWidth="1" width="9.140625"/>
    <col min="13397" max="13397" customWidth="1" width="9.140625"/>
    <col min="13398" max="13398" customWidth="1" width="9.140625"/>
    <col min="13399" max="13399" customWidth="1" width="9.140625"/>
    <col min="13400" max="13400" customWidth="1" width="9.140625"/>
    <col min="13401" max="13401" customWidth="1" width="9.140625"/>
    <col min="13402" max="13402" customWidth="1" width="9.140625"/>
    <col min="13403" max="13403" customWidth="1" width="9.140625"/>
    <col min="13404" max="13404" customWidth="1" width="9.140625"/>
    <col min="13405" max="13405" customWidth="1" width="9.140625"/>
    <col min="13406" max="13406" customWidth="1" width="9.140625"/>
    <col min="13407" max="13407" customWidth="1" width="9.140625"/>
    <col min="13408" max="13408" customWidth="1" width="9.140625"/>
    <col min="13409" max="13409" customWidth="1" width="9.140625"/>
    <col min="13410" max="13410" customWidth="1" width="9.140625"/>
    <col min="13411" max="13411" customWidth="1" width="9.140625"/>
    <col min="13412" max="13412" customWidth="1" width="9.140625"/>
    <col min="13413" max="13413" customWidth="1" width="9.140625"/>
    <col min="13414" max="13414" customWidth="1" width="9.140625"/>
    <col min="13415" max="13415" customWidth="1" width="9.140625"/>
    <col min="13416" max="13416" customWidth="1" width="9.140625"/>
    <col min="13417" max="13417" customWidth="1" width="9.140625"/>
    <col min="13418" max="13418" customWidth="1" width="9.140625"/>
    <col min="13419" max="13419" customWidth="1" width="9.140625"/>
    <col min="13420" max="13420" customWidth="1" width="9.140625"/>
    <col min="13421" max="13421" customWidth="1" width="9.140625"/>
    <col min="13422" max="13422" customWidth="1" width="9.140625"/>
    <col min="13423" max="13423" customWidth="1" width="9.140625"/>
    <col min="13424" max="13424" customWidth="1" width="9.140625"/>
    <col min="13425" max="13425" customWidth="1" width="9.140625"/>
    <col min="13426" max="13426" customWidth="1" width="9.140625"/>
    <col min="13427" max="13427" customWidth="1" width="9.140625"/>
    <col min="13428" max="13428" customWidth="1" width="9.140625"/>
    <col min="13429" max="13429" customWidth="1" width="9.140625"/>
    <col min="13430" max="13430" customWidth="1" width="9.140625"/>
    <col min="13431" max="13431" customWidth="1" width="9.140625"/>
    <col min="13432" max="13432" customWidth="1" width="9.140625"/>
    <col min="13433" max="13433" customWidth="1" width="9.140625"/>
    <col min="13434" max="13434" customWidth="1" width="9.140625"/>
    <col min="13435" max="13435" customWidth="1" width="9.140625"/>
    <col min="13436" max="13436" customWidth="1" width="9.140625"/>
    <col min="13437" max="13437" customWidth="1" width="9.140625"/>
    <col min="13438" max="13438" customWidth="1" width="9.140625"/>
    <col min="13439" max="13439" customWidth="1" width="9.140625"/>
    <col min="13440" max="13440" customWidth="1" width="9.140625"/>
    <col min="13441" max="13441" customWidth="1" width="9.140625"/>
    <col min="13442" max="13442" customWidth="1" width="9.140625"/>
    <col min="13443" max="13443" customWidth="1" width="9.140625"/>
    <col min="13444" max="13444" customWidth="1" width="9.140625"/>
    <col min="13445" max="13445" customWidth="1" width="9.140625"/>
    <col min="13446" max="13446" customWidth="1" width="9.140625"/>
    <col min="13447" max="13447" customWidth="1" width="9.140625"/>
    <col min="13448" max="13448" customWidth="1" width="9.140625"/>
    <col min="13449" max="13449" customWidth="1" width="9.140625"/>
    <col min="13450" max="13450" customWidth="1" width="9.140625"/>
    <col min="13451" max="13451" customWidth="1" width="9.140625"/>
    <col min="13452" max="13452" customWidth="1" width="9.140625"/>
    <col min="13453" max="13453" customWidth="1" width="9.140625"/>
    <col min="13454" max="13454" customWidth="1" width="9.140625"/>
    <col min="13455" max="13455" customWidth="1" width="9.140625"/>
    <col min="13456" max="13456" customWidth="1" width="9.140625"/>
    <col min="13457" max="13457" customWidth="1" width="9.140625"/>
    <col min="13458" max="13458" customWidth="1" width="9.140625"/>
    <col min="13459" max="13459" customWidth="1" width="9.140625"/>
    <col min="13460" max="13460" customWidth="1" width="9.140625"/>
    <col min="13461" max="13461" customWidth="1" width="9.140625"/>
    <col min="13462" max="13462" customWidth="1" width="9.140625"/>
    <col min="13463" max="13463" customWidth="1" width="9.140625"/>
    <col min="13464" max="13464" customWidth="1" width="9.140625"/>
    <col min="13465" max="13465" customWidth="1" width="9.140625"/>
    <col min="13466" max="13466" customWidth="1" width="9.140625"/>
    <col min="13467" max="13467" customWidth="1" width="9.140625"/>
    <col min="13468" max="13468" customWidth="1" width="9.140625"/>
    <col min="13469" max="13469" customWidth="1" width="9.140625"/>
    <col min="13470" max="13470" customWidth="1" width="9.140625"/>
    <col min="13471" max="13471" customWidth="1" width="9.140625"/>
    <col min="13472" max="13472" customWidth="1" width="9.140625"/>
    <col min="13473" max="13473" customWidth="1" width="9.140625"/>
    <col min="13474" max="13474" customWidth="1" width="9.140625"/>
    <col min="13475" max="13475" customWidth="1" width="9.140625"/>
    <col min="13476" max="13476" customWidth="1" width="9.140625"/>
    <col min="13477" max="13477" customWidth="1" width="9.140625"/>
    <col min="13478" max="13478" customWidth="1" width="9.140625"/>
    <col min="13479" max="13479" customWidth="1" width="9.140625"/>
    <col min="13480" max="13480" customWidth="1" width="9.140625"/>
    <col min="13481" max="13481" customWidth="1" width="9.140625"/>
    <col min="13482" max="13482" customWidth="1" width="9.140625"/>
    <col min="13483" max="13483" customWidth="1" width="9.140625"/>
    <col min="13484" max="13484" customWidth="1" width="9.140625"/>
    <col min="13485" max="13485" customWidth="1" width="9.140625"/>
    <col min="13486" max="13486" customWidth="1" width="9.140625"/>
    <col min="13487" max="13487" customWidth="1" width="9.140625"/>
    <col min="13488" max="13488" customWidth="1" width="9.140625"/>
    <col min="13489" max="13489" customWidth="1" width="9.140625"/>
    <col min="13490" max="13490" customWidth="1" width="9.140625"/>
    <col min="13491" max="13491" customWidth="1" width="9.140625"/>
    <col min="13492" max="13492" customWidth="1" width="9.140625"/>
    <col min="13493" max="13493" customWidth="1" width="9.140625"/>
    <col min="13494" max="13494" customWidth="1" width="9.140625"/>
    <col min="13495" max="13495" customWidth="1" width="9.140625"/>
    <col min="13496" max="13496" customWidth="1" width="9.140625"/>
    <col min="13497" max="13497" customWidth="1" width="9.140625"/>
    <col min="13498" max="13498" customWidth="1" width="9.140625"/>
    <col min="13499" max="13499" customWidth="1" width="9.140625"/>
    <col min="13500" max="13500" customWidth="1" width="9.140625"/>
    <col min="13501" max="13501" customWidth="1" width="9.140625"/>
    <col min="13502" max="13502" customWidth="1" width="9.140625"/>
    <col min="13503" max="13503" customWidth="1" width="9.140625"/>
    <col min="13504" max="13504" customWidth="1" width="9.140625"/>
    <col min="13505" max="13505" customWidth="1" width="9.140625"/>
    <col min="13506" max="13506" customWidth="1" width="9.140625"/>
    <col min="13507" max="13507" customWidth="1" width="9.140625"/>
    <col min="13508" max="13508" customWidth="1" width="9.140625"/>
    <col min="13509" max="13509" customWidth="1" width="9.140625"/>
    <col min="13510" max="13510" customWidth="1" width="9.140625"/>
    <col min="13511" max="13511" customWidth="1" width="9.140625"/>
    <col min="13512" max="13512" customWidth="1" width="9.140625"/>
    <col min="13513" max="13513" customWidth="1" width="9.140625"/>
    <col min="13514" max="13514" customWidth="1" width="9.140625"/>
    <col min="13515" max="13515" customWidth="1" width="9.140625"/>
    <col min="13516" max="13516" customWidth="1" width="9.140625"/>
    <col min="13517" max="13517" customWidth="1" width="9.140625"/>
    <col min="13518" max="13518" customWidth="1" width="9.140625"/>
    <col min="13519" max="13519" customWidth="1" width="9.140625"/>
    <col min="13520" max="13520" customWidth="1" width="9.140625"/>
    <col min="13521" max="13521" customWidth="1" width="9.140625"/>
    <col min="13522" max="13522" customWidth="1" width="9.140625"/>
    <col min="13523" max="13523" customWidth="1" width="9.140625"/>
    <col min="13524" max="13524" customWidth="1" width="9.140625"/>
    <col min="13525" max="13525" customWidth="1" width="9.140625"/>
    <col min="13526" max="13526" customWidth="1" width="9.140625"/>
    <col min="13527" max="13527" customWidth="1" width="9.140625"/>
    <col min="13528" max="13528" customWidth="1" width="9.140625"/>
    <col min="13529" max="13529" customWidth="1" width="9.140625"/>
    <col min="13530" max="13530" customWidth="1" width="9.140625"/>
    <col min="13531" max="13531" customWidth="1" width="9.140625"/>
    <col min="13532" max="13532" customWidth="1" width="9.140625"/>
    <col min="13533" max="13533" customWidth="1" width="9.140625"/>
    <col min="13534" max="13534" customWidth="1" width="9.140625"/>
    <col min="13535" max="13535" customWidth="1" width="9.140625"/>
    <col min="13536" max="13536" customWidth="1" width="9.140625"/>
    <col min="13537" max="13537" customWidth="1" width="9.140625"/>
    <col min="13538" max="13538" customWidth="1" width="9.140625"/>
    <col min="13539" max="13539" customWidth="1" width="9.140625"/>
    <col min="13540" max="13540" customWidth="1" width="9.140625"/>
    <col min="13541" max="13541" customWidth="1" width="9.140625"/>
    <col min="13542" max="13542" customWidth="1" width="9.140625"/>
    <col min="13543" max="13543" customWidth="1" width="9.140625"/>
    <col min="13544" max="13544" customWidth="1" width="9.140625"/>
    <col min="13545" max="13545" customWidth="1" width="9.140625"/>
    <col min="13546" max="13546" customWidth="1" width="9.140625"/>
    <col min="13547" max="13547" customWidth="1" width="9.140625"/>
    <col min="13548" max="13548" customWidth="1" width="9.140625"/>
    <col min="13549" max="13549" customWidth="1" width="9.140625"/>
    <col min="13550" max="13550" customWidth="1" width="9.140625"/>
    <col min="13551" max="13551" customWidth="1" width="9.140625"/>
    <col min="13552" max="13552" customWidth="1" width="9.140625"/>
    <col min="13553" max="13553" customWidth="1" width="9.140625"/>
    <col min="13554" max="13554" customWidth="1" width="9.140625"/>
    <col min="13555" max="13555" customWidth="1" width="9.140625"/>
    <col min="13556" max="13556" customWidth="1" width="9.140625"/>
    <col min="13557" max="13557" customWidth="1" width="9.140625"/>
    <col min="13558" max="13558" customWidth="1" width="9.140625"/>
    <col min="13559" max="13559" customWidth="1" width="9.140625"/>
    <col min="13560" max="13560" customWidth="1" width="9.140625"/>
    <col min="13561" max="13561" customWidth="1" width="9.140625"/>
    <col min="13562" max="13562" customWidth="1" width="9.140625"/>
    <col min="13563" max="13563" customWidth="1" width="9.140625"/>
    <col min="13564" max="13564" customWidth="1" width="9.140625"/>
    <col min="13565" max="13565" customWidth="1" width="9.140625"/>
    <col min="13566" max="13566" customWidth="1" width="9.140625"/>
    <col min="13567" max="13567" customWidth="1" width="9.140625"/>
    <col min="13568" max="13568" customWidth="1" width="9.140625"/>
    <col min="13569" max="13569" customWidth="1" width="9.140625"/>
    <col min="13570" max="13570" customWidth="1" width="9.140625"/>
    <col min="13571" max="13571" customWidth="1" width="9.140625"/>
    <col min="13572" max="13572" customWidth="1" width="9.140625"/>
    <col min="13573" max="13573" customWidth="1" width="9.140625"/>
    <col min="13574" max="13574" customWidth="1" width="9.140625"/>
    <col min="13575" max="13575" customWidth="1" width="9.140625"/>
    <col min="13576" max="13576" customWidth="1" width="9.140625"/>
    <col min="13577" max="13577" customWidth="1" width="9.140625"/>
    <col min="13578" max="13578" customWidth="1" width="9.140625"/>
    <col min="13579" max="13579" customWidth="1" width="9.140625"/>
    <col min="13580" max="13580" customWidth="1" width="9.140625"/>
    <col min="13581" max="13581" customWidth="1" width="9.140625"/>
    <col min="13582" max="13582" customWidth="1" width="9.140625"/>
    <col min="13583" max="13583" customWidth="1" width="9.140625"/>
    <col min="13584" max="13584" customWidth="1" width="9.140625"/>
    <col min="13585" max="13585" customWidth="1" width="9.140625"/>
    <col min="13586" max="13586" customWidth="1" width="9.140625"/>
    <col min="13587" max="13587" customWidth="1" width="9.140625"/>
    <col min="13588" max="13588" customWidth="1" width="9.140625"/>
    <col min="13589" max="13589" customWidth="1" width="9.140625"/>
    <col min="13590" max="13590" customWidth="1" width="9.140625"/>
    <col min="13591" max="13591" customWidth="1" width="9.140625"/>
    <col min="13592" max="13592" customWidth="1" width="9.140625"/>
    <col min="13593" max="13593" customWidth="1" width="9.140625"/>
    <col min="13594" max="13594" customWidth="1" width="9.140625"/>
    <col min="13595" max="13595" customWidth="1" width="9.140625"/>
    <col min="13596" max="13596" customWidth="1" width="9.140625"/>
    <col min="13597" max="13597" customWidth="1" width="9.140625"/>
    <col min="13598" max="13598" customWidth="1" width="9.140625"/>
    <col min="13599" max="13599" customWidth="1" width="9.140625"/>
    <col min="13600" max="13600" customWidth="1" width="9.140625"/>
    <col min="13601" max="13601" customWidth="1" width="9.140625"/>
    <col min="13602" max="13602" customWidth="1" width="9.140625"/>
    <col min="13603" max="13603" customWidth="1" width="9.140625"/>
    <col min="13604" max="13604" customWidth="1" width="9.140625"/>
    <col min="13605" max="13605" customWidth="1" width="9.140625"/>
    <col min="13606" max="13606" customWidth="1" width="9.140625"/>
    <col min="13607" max="13607" customWidth="1" width="9.140625"/>
    <col min="13608" max="13608" customWidth="1" width="9.140625"/>
    <col min="13609" max="13609" customWidth="1" width="9.140625"/>
    <col min="13610" max="13610" customWidth="1" width="9.140625"/>
    <col min="13611" max="13611" customWidth="1" width="9.140625"/>
    <col min="13612" max="13612" customWidth="1" width="9.140625"/>
    <col min="13613" max="13613" customWidth="1" width="9.140625"/>
    <col min="13614" max="13614" customWidth="1" width="9.140625"/>
    <col min="13615" max="13615" customWidth="1" width="9.140625"/>
    <col min="13616" max="13616" customWidth="1" width="9.140625"/>
    <col min="13617" max="13617" customWidth="1" width="9.140625"/>
    <col min="13618" max="13618" customWidth="1" width="9.140625"/>
    <col min="13619" max="13619" customWidth="1" width="9.140625"/>
    <col min="13620" max="13620" customWidth="1" width="9.140625"/>
    <col min="13621" max="13621" customWidth="1" width="9.140625"/>
    <col min="13622" max="13622" customWidth="1" width="9.140625"/>
    <col min="13623" max="13623" customWidth="1" width="9.140625"/>
    <col min="13624" max="13624" customWidth="1" width="9.140625"/>
    <col min="13625" max="13625" customWidth="1" width="9.140625"/>
    <col min="13626" max="13626" customWidth="1" width="9.140625"/>
    <col min="13627" max="13627" customWidth="1" width="9.140625"/>
    <col min="13628" max="13628" customWidth="1" width="9.140625"/>
    <col min="13629" max="13629" customWidth="1" width="9.140625"/>
    <col min="13630" max="13630" customWidth="1" width="9.140625"/>
    <col min="13631" max="13631" customWidth="1" width="9.140625"/>
    <col min="13632" max="13632" customWidth="1" width="9.140625"/>
    <col min="13633" max="13633" customWidth="1" width="9.140625"/>
    <col min="13634" max="13634" customWidth="1" width="9.140625"/>
    <col min="13635" max="13635" customWidth="1" width="9.140625"/>
    <col min="13636" max="13636" customWidth="1" width="9.140625"/>
    <col min="13637" max="13637" customWidth="1" width="9.140625"/>
    <col min="13638" max="13638" customWidth="1" width="9.140625"/>
    <col min="13639" max="13639" customWidth="1" width="9.140625"/>
    <col min="13640" max="13640" customWidth="1" width="9.140625"/>
    <col min="13641" max="13641" customWidth="1" width="9.140625"/>
    <col min="13642" max="13642" customWidth="1" width="9.140625"/>
    <col min="13643" max="13643" customWidth="1" width="9.140625"/>
    <col min="13644" max="13644" customWidth="1" width="9.140625"/>
    <col min="13645" max="13645" customWidth="1" width="9.140625"/>
    <col min="13646" max="13646" customWidth="1" width="9.140625"/>
    <col min="13647" max="13647" customWidth="1" width="9.140625"/>
    <col min="13648" max="13648" customWidth="1" width="9.140625"/>
    <col min="13649" max="13649" customWidth="1" width="9.140625"/>
    <col min="13650" max="13650" customWidth="1" width="9.140625"/>
    <col min="13651" max="13651" customWidth="1" width="9.140625"/>
    <col min="13652" max="13652" customWidth="1" width="9.140625"/>
    <col min="13653" max="13653" customWidth="1" width="9.140625"/>
    <col min="13654" max="13654" customWidth="1" width="9.140625"/>
    <col min="13655" max="13655" customWidth="1" width="9.140625"/>
    <col min="13656" max="13656" customWidth="1" width="9.140625"/>
    <col min="13657" max="13657" customWidth="1" width="9.140625"/>
    <col min="13658" max="13658" customWidth="1" width="9.140625"/>
    <col min="13659" max="13659" customWidth="1" width="9.140625"/>
    <col min="13660" max="13660" customWidth="1" width="9.140625"/>
    <col min="13661" max="13661" customWidth="1" width="9.140625"/>
    <col min="13662" max="13662" customWidth="1" width="9.140625"/>
    <col min="13663" max="13663" customWidth="1" width="9.140625"/>
    <col min="13664" max="13664" customWidth="1" width="9.140625"/>
    <col min="13665" max="13665" customWidth="1" width="9.140625"/>
    <col min="13666" max="13666" customWidth="1" width="9.140625"/>
    <col min="13667" max="13667" customWidth="1" width="9.140625"/>
    <col min="13668" max="13668" customWidth="1" width="9.140625"/>
    <col min="13669" max="13669" customWidth="1" width="9.140625"/>
    <col min="13670" max="13670" customWidth="1" width="9.140625"/>
    <col min="13671" max="13671" customWidth="1" width="9.140625"/>
    <col min="13672" max="13672" customWidth="1" width="9.140625"/>
    <col min="13673" max="13673" customWidth="1" width="9.140625"/>
    <col min="13674" max="13674" customWidth="1" width="9.140625"/>
    <col min="13675" max="13675" customWidth="1" width="9.140625"/>
    <col min="13676" max="13676" customWidth="1" width="9.140625"/>
    <col min="13677" max="13677" customWidth="1" width="9.140625"/>
    <col min="13678" max="13678" customWidth="1" width="9.140625"/>
    <col min="13679" max="13679" customWidth="1" width="9.140625"/>
    <col min="13680" max="13680" customWidth="1" width="9.140625"/>
    <col min="13681" max="13681" customWidth="1" width="9.140625"/>
    <col min="13682" max="13682" customWidth="1" width="9.140625"/>
    <col min="13683" max="13683" customWidth="1" width="9.140625"/>
    <col min="13684" max="13684" customWidth="1" width="9.140625"/>
    <col min="13685" max="13685" customWidth="1" width="9.140625"/>
    <col min="13686" max="13686" customWidth="1" width="9.140625"/>
    <col min="13687" max="13687" customWidth="1" width="9.140625"/>
    <col min="13688" max="13688" customWidth="1" width="9.140625"/>
    <col min="13689" max="13689" customWidth="1" width="9.140625"/>
    <col min="13690" max="13690" customWidth="1" width="9.140625"/>
    <col min="13691" max="13691" customWidth="1" width="9.140625"/>
    <col min="13692" max="13692" customWidth="1" width="9.140625"/>
    <col min="13693" max="13693" customWidth="1" width="9.140625"/>
    <col min="13694" max="13694" customWidth="1" width="9.140625"/>
    <col min="13695" max="13695" customWidth="1" width="9.140625"/>
    <col min="13696" max="13696" customWidth="1" width="9.140625"/>
    <col min="13697" max="13697" customWidth="1" width="9.140625"/>
    <col min="13698" max="13698" customWidth="1" width="9.140625"/>
    <col min="13699" max="13699" customWidth="1" width="9.140625"/>
    <col min="13700" max="13700" customWidth="1" width="9.140625"/>
    <col min="13701" max="13701" customWidth="1" width="9.140625"/>
    <col min="13702" max="13702" customWidth="1" width="9.140625"/>
    <col min="13703" max="13703" customWidth="1" width="9.140625"/>
    <col min="13704" max="13704" customWidth="1" width="9.140625"/>
    <col min="13705" max="13705" customWidth="1" width="9.140625"/>
    <col min="13706" max="13706" customWidth="1" width="9.140625"/>
    <col min="13707" max="13707" customWidth="1" width="9.140625"/>
    <col min="13708" max="13708" customWidth="1" width="9.140625"/>
    <col min="13709" max="13709" customWidth="1" width="9.140625"/>
    <col min="13710" max="13710" customWidth="1" width="9.140625"/>
    <col min="13711" max="13711" customWidth="1" width="9.140625"/>
    <col min="13712" max="13712" customWidth="1" width="9.140625"/>
    <col min="13713" max="13713" customWidth="1" width="9.140625"/>
    <col min="13714" max="13714" customWidth="1" width="9.140625"/>
    <col min="13715" max="13715" customWidth="1" width="9.140625"/>
    <col min="13716" max="13716" customWidth="1" width="9.140625"/>
    <col min="13717" max="13717" customWidth="1" width="9.140625"/>
    <col min="13718" max="13718" customWidth="1" width="9.140625"/>
    <col min="13719" max="13719" customWidth="1" width="9.140625"/>
    <col min="13720" max="13720" customWidth="1" width="9.140625"/>
    <col min="13721" max="13721" customWidth="1" width="9.140625"/>
    <col min="13722" max="13722" customWidth="1" width="9.140625"/>
    <col min="13723" max="13723" customWidth="1" width="9.140625"/>
    <col min="13724" max="13724" customWidth="1" width="9.140625"/>
    <col min="13725" max="13725" customWidth="1" width="9.140625"/>
    <col min="13726" max="13726" customWidth="1" width="9.140625"/>
    <col min="13727" max="13727" customWidth="1" width="9.140625"/>
    <col min="13728" max="13728" customWidth="1" width="9.140625"/>
    <col min="13729" max="13729" customWidth="1" width="9.140625"/>
    <col min="13730" max="13730" customWidth="1" width="9.140625"/>
    <col min="13731" max="13731" customWidth="1" width="9.140625"/>
    <col min="13732" max="13732" customWidth="1" width="9.140625"/>
    <col min="13733" max="13733" customWidth="1" width="9.140625"/>
    <col min="13734" max="13734" customWidth="1" width="9.140625"/>
    <col min="13735" max="13735" customWidth="1" width="9.140625"/>
    <col min="13736" max="13736" customWidth="1" width="9.140625"/>
    <col min="13737" max="13737" customWidth="1" width="9.140625"/>
    <col min="13738" max="13738" customWidth="1" width="9.140625"/>
    <col min="13739" max="13739" customWidth="1" width="9.140625"/>
    <col min="13740" max="13740" customWidth="1" width="9.140625"/>
    <col min="13741" max="13741" customWidth="1" width="9.140625"/>
    <col min="13742" max="13742" customWidth="1" width="9.140625"/>
    <col min="13743" max="13743" customWidth="1" width="9.140625"/>
    <col min="13744" max="13744" customWidth="1" width="9.140625"/>
    <col min="13745" max="13745" customWidth="1" width="9.140625"/>
    <col min="13746" max="13746" customWidth="1" width="9.140625"/>
    <col min="13747" max="13747" customWidth="1" width="9.140625"/>
    <col min="13748" max="13748" customWidth="1" width="9.140625"/>
    <col min="13749" max="13749" customWidth="1" width="9.140625"/>
    <col min="13750" max="13750" customWidth="1" width="9.140625"/>
    <col min="13751" max="13751" customWidth="1" width="9.140625"/>
    <col min="13752" max="13752" customWidth="1" width="9.140625"/>
    <col min="13753" max="13753" customWidth="1" width="9.140625"/>
    <col min="13754" max="13754" customWidth="1" width="9.140625"/>
    <col min="13755" max="13755" customWidth="1" width="9.140625"/>
    <col min="13756" max="13756" customWidth="1" width="9.140625"/>
    <col min="13757" max="13757" customWidth="1" width="9.140625"/>
    <col min="13758" max="13758" customWidth="1" width="9.140625"/>
    <col min="13759" max="13759" customWidth="1" width="9.140625"/>
    <col min="13760" max="13760" customWidth="1" width="9.140625"/>
    <col min="13761" max="13761" customWidth="1" width="9.140625"/>
    <col min="13762" max="13762" customWidth="1" width="9.140625"/>
    <col min="13763" max="13763" customWidth="1" width="9.140625"/>
    <col min="13764" max="13764" customWidth="1" width="9.140625"/>
    <col min="13765" max="13765" customWidth="1" width="9.140625"/>
    <col min="13766" max="13766" customWidth="1" width="9.140625"/>
    <col min="13767" max="13767" customWidth="1" width="9.140625"/>
    <col min="13768" max="13768" customWidth="1" width="9.140625"/>
    <col min="13769" max="13769" customWidth="1" width="9.140625"/>
    <col min="13770" max="13770" customWidth="1" width="9.140625"/>
    <col min="13771" max="13771" customWidth="1" width="9.140625"/>
    <col min="13772" max="13772" customWidth="1" width="9.140625"/>
    <col min="13773" max="13773" customWidth="1" width="9.140625"/>
    <col min="13774" max="13774" customWidth="1" width="9.140625"/>
    <col min="13775" max="13775" customWidth="1" width="9.140625"/>
    <col min="13776" max="13776" customWidth="1" width="9.140625"/>
    <col min="13777" max="13777" customWidth="1" width="9.140625"/>
    <col min="13778" max="13778" customWidth="1" width="9.140625"/>
    <col min="13779" max="13779" customWidth="1" width="9.140625"/>
    <col min="13780" max="13780" customWidth="1" width="9.140625"/>
    <col min="13781" max="13781" customWidth="1" width="9.140625"/>
    <col min="13782" max="13782" customWidth="1" width="9.140625"/>
    <col min="13783" max="13783" customWidth="1" width="9.140625"/>
    <col min="13784" max="13784" customWidth="1" width="9.140625"/>
    <col min="13785" max="13785" customWidth="1" width="9.140625"/>
    <col min="13786" max="13786" customWidth="1" width="9.140625"/>
    <col min="13787" max="13787" customWidth="1" width="9.140625"/>
    <col min="13788" max="13788" customWidth="1" width="9.140625"/>
    <col min="13789" max="13789" customWidth="1" width="9.140625"/>
    <col min="13790" max="13790" customWidth="1" width="9.140625"/>
    <col min="13791" max="13791" customWidth="1" width="9.140625"/>
    <col min="13792" max="13792" customWidth="1" width="9.140625"/>
    <col min="13793" max="13793" customWidth="1" width="9.140625"/>
    <col min="13794" max="13794" customWidth="1" width="9.140625"/>
    <col min="13795" max="13795" customWidth="1" width="9.140625"/>
    <col min="13796" max="13796" customWidth="1" width="9.140625"/>
    <col min="13797" max="13797" customWidth="1" width="9.140625"/>
    <col min="13798" max="13798" customWidth="1" width="9.140625"/>
    <col min="13799" max="13799" customWidth="1" width="9.140625"/>
    <col min="13800" max="13800" customWidth="1" width="9.140625"/>
    <col min="13801" max="13801" customWidth="1" width="9.140625"/>
    <col min="13802" max="13802" customWidth="1" width="9.140625"/>
    <col min="13803" max="13803" customWidth="1" width="9.140625"/>
    <col min="13804" max="13804" customWidth="1" width="9.140625"/>
    <col min="13805" max="13805" customWidth="1" width="9.140625"/>
    <col min="13806" max="13806" customWidth="1" width="9.140625"/>
    <col min="13807" max="13807" customWidth="1" width="9.140625"/>
    <col min="13808" max="13808" customWidth="1" width="9.140625"/>
    <col min="13809" max="13809" customWidth="1" width="9.140625"/>
    <col min="13810" max="13810" customWidth="1" width="9.140625"/>
    <col min="13811" max="13811" customWidth="1" width="9.140625"/>
    <col min="13812" max="13812" customWidth="1" width="9.140625"/>
    <col min="13813" max="13813" customWidth="1" width="9.140625"/>
    <col min="13814" max="13814" customWidth="1" width="9.140625"/>
    <col min="13815" max="13815" customWidth="1" width="9.140625"/>
    <col min="13816" max="13816" customWidth="1" width="9.140625"/>
    <col min="13817" max="13817" customWidth="1" width="9.140625"/>
    <col min="13818" max="13818" customWidth="1" width="9.140625"/>
    <col min="13819" max="13819" customWidth="1" width="9.140625"/>
    <col min="13820" max="13820" customWidth="1" width="9.140625"/>
    <col min="13821" max="13821" customWidth="1" width="9.140625"/>
    <col min="13822" max="13822" customWidth="1" width="9.140625"/>
    <col min="13823" max="13823" customWidth="1" width="9.140625"/>
    <col min="13824" max="13824" customWidth="1" width="9.140625"/>
    <col min="13825" max="13825" customWidth="1" width="9.140625"/>
    <col min="13826" max="13826" customWidth="1" width="9.140625"/>
    <col min="13827" max="13827" customWidth="1" width="9.140625"/>
    <col min="13828" max="13828" customWidth="1" width="9.140625"/>
    <col min="13829" max="13829" customWidth="1" width="9.140625"/>
    <col min="13830" max="13830" customWidth="1" width="9.140625"/>
    <col min="13831" max="13831" customWidth="1" width="9.140625"/>
    <col min="13832" max="13832" customWidth="1" width="9.140625"/>
    <col min="13833" max="13833" customWidth="1" width="9.140625"/>
    <col min="13834" max="13834" customWidth="1" width="9.140625"/>
    <col min="13835" max="13835" customWidth="1" width="9.140625"/>
    <col min="13836" max="13836" customWidth="1" width="9.140625"/>
    <col min="13837" max="13837" customWidth="1" width="9.140625"/>
    <col min="13838" max="13838" customWidth="1" width="9.140625"/>
    <col min="13839" max="13839" customWidth="1" width="9.140625"/>
    <col min="13840" max="13840" customWidth="1" width="9.140625"/>
    <col min="13841" max="13841" customWidth="1" width="9.140625"/>
    <col min="13842" max="13842" customWidth="1" width="9.140625"/>
    <col min="13843" max="13843" customWidth="1" width="9.140625"/>
    <col min="13844" max="13844" customWidth="1" width="9.140625"/>
    <col min="13845" max="13845" customWidth="1" width="9.140625"/>
    <col min="13846" max="13846" customWidth="1" width="9.140625"/>
    <col min="13847" max="13847" customWidth="1" width="9.140625"/>
    <col min="13848" max="13848" customWidth="1" width="9.140625"/>
    <col min="13849" max="13849" customWidth="1" width="9.140625"/>
    <col min="13850" max="13850" customWidth="1" width="9.140625"/>
    <col min="13851" max="13851" customWidth="1" width="9.140625"/>
    <col min="13852" max="13852" customWidth="1" width="9.140625"/>
    <col min="13853" max="13853" customWidth="1" width="9.140625"/>
    <col min="13854" max="13854" customWidth="1" width="9.140625"/>
    <col min="13855" max="13855" customWidth="1" width="9.140625"/>
    <col min="13856" max="13856" customWidth="1" width="9.140625"/>
    <col min="13857" max="13857" customWidth="1" width="9.140625"/>
    <col min="13858" max="13858" customWidth="1" width="9.140625"/>
    <col min="13859" max="13859" customWidth="1" width="9.140625"/>
    <col min="13860" max="13860" customWidth="1" width="9.140625"/>
    <col min="13861" max="13861" customWidth="1" width="9.140625"/>
    <col min="13862" max="13862" customWidth="1" width="9.140625"/>
    <col min="13863" max="13863" customWidth="1" width="9.140625"/>
    <col min="13864" max="13864" customWidth="1" width="9.140625"/>
    <col min="13865" max="13865" customWidth="1" width="9.140625"/>
    <col min="13866" max="13866" customWidth="1" width="9.140625"/>
    <col min="13867" max="13867" customWidth="1" width="9.140625"/>
    <col min="13868" max="13868" customWidth="1" width="9.140625"/>
    <col min="13869" max="13869" customWidth="1" width="9.140625"/>
    <col min="13870" max="13870" customWidth="1" width="9.140625"/>
    <col min="13871" max="13871" customWidth="1" width="9.140625"/>
    <col min="13872" max="13872" customWidth="1" width="9.140625"/>
    <col min="13873" max="13873" customWidth="1" width="9.140625"/>
    <col min="13874" max="13874" customWidth="1" width="9.140625"/>
    <col min="13875" max="13875" customWidth="1" width="9.140625"/>
    <col min="13876" max="13876" customWidth="1" width="9.140625"/>
    <col min="13877" max="13877" customWidth="1" width="9.140625"/>
    <col min="13878" max="13878" customWidth="1" width="9.140625"/>
    <col min="13879" max="13879" customWidth="1" width="9.140625"/>
    <col min="13880" max="13880" customWidth="1" width="9.140625"/>
    <col min="13881" max="13881" customWidth="1" width="9.140625"/>
    <col min="13882" max="13882" customWidth="1" width="9.140625"/>
    <col min="13883" max="13883" customWidth="1" width="9.140625"/>
    <col min="13884" max="13884" customWidth="1" width="9.140625"/>
    <col min="13885" max="13885" customWidth="1" width="9.140625"/>
    <col min="13886" max="13886" customWidth="1" width="9.140625"/>
    <col min="13887" max="13887" customWidth="1" width="9.140625"/>
    <col min="13888" max="13888" customWidth="1" width="9.140625"/>
    <col min="13889" max="13889" customWidth="1" width="9.140625"/>
    <col min="13890" max="13890" customWidth="1" width="9.140625"/>
    <col min="13891" max="13891" customWidth="1" width="9.140625"/>
    <col min="13892" max="13892" customWidth="1" width="9.140625"/>
    <col min="13893" max="13893" customWidth="1" width="9.140625"/>
    <col min="13894" max="13894" customWidth="1" width="9.140625"/>
    <col min="13895" max="13895" customWidth="1" width="9.140625"/>
    <col min="13896" max="13896" customWidth="1" width="9.140625"/>
    <col min="13897" max="13897" customWidth="1" width="9.140625"/>
    <col min="13898" max="13898" customWidth="1" width="9.140625"/>
    <col min="13899" max="13899" customWidth="1" width="9.140625"/>
    <col min="13900" max="13900" customWidth="1" width="9.140625"/>
    <col min="13901" max="13901" customWidth="1" width="9.140625"/>
    <col min="13902" max="13902" customWidth="1" width="9.140625"/>
    <col min="13903" max="13903" customWidth="1" width="9.140625"/>
    <col min="13904" max="13904" customWidth="1" width="9.140625"/>
    <col min="13905" max="13905" customWidth="1" width="9.140625"/>
    <col min="13906" max="13906" customWidth="1" width="9.140625"/>
    <col min="13907" max="13907" customWidth="1" width="9.140625"/>
    <col min="13908" max="13908" customWidth="1" width="9.140625"/>
    <col min="13909" max="13909" customWidth="1" width="9.140625"/>
    <col min="13910" max="13910" customWidth="1" width="9.140625"/>
    <col min="13911" max="13911" customWidth="1" width="9.140625"/>
    <col min="13912" max="13912" customWidth="1" width="9.140625"/>
    <col min="13913" max="13913" customWidth="1" width="9.140625"/>
    <col min="13914" max="13914" customWidth="1" width="9.140625"/>
    <col min="13915" max="13915" customWidth="1" width="9.140625"/>
    <col min="13916" max="13916" customWidth="1" width="9.140625"/>
    <col min="13917" max="13917" customWidth="1" width="9.140625"/>
    <col min="13918" max="13918" customWidth="1" width="9.140625"/>
    <col min="13919" max="13919" customWidth="1" width="9.140625"/>
    <col min="13920" max="13920" customWidth="1" width="9.140625"/>
    <col min="13921" max="13921" customWidth="1" width="9.140625"/>
    <col min="13922" max="13922" customWidth="1" width="9.140625"/>
    <col min="13923" max="13923" customWidth="1" width="9.140625"/>
    <col min="13924" max="13924" customWidth="1" width="9.140625"/>
    <col min="13925" max="13925" customWidth="1" width="9.140625"/>
    <col min="13926" max="13926" customWidth="1" width="9.140625"/>
    <col min="13927" max="13927" customWidth="1" width="9.140625"/>
    <col min="13928" max="13928" customWidth="1" width="9.140625"/>
    <col min="13929" max="13929" customWidth="1" width="9.140625"/>
    <col min="13930" max="13930" customWidth="1" width="9.140625"/>
    <col min="13931" max="13931" customWidth="1" width="9.140625"/>
    <col min="13932" max="13932" customWidth="1" width="9.140625"/>
    <col min="13933" max="13933" customWidth="1" width="9.140625"/>
    <col min="13934" max="13934" customWidth="1" width="9.140625"/>
    <col min="13935" max="13935" customWidth="1" width="9.140625"/>
    <col min="13936" max="13936" customWidth="1" width="9.140625"/>
    <col min="13937" max="13937" customWidth="1" width="9.140625"/>
    <col min="13938" max="13938" customWidth="1" width="9.140625"/>
    <col min="13939" max="13939" customWidth="1" width="9.140625"/>
    <col min="13940" max="13940" customWidth="1" width="9.140625"/>
    <col min="13941" max="13941" customWidth="1" width="9.140625"/>
    <col min="13942" max="13942" customWidth="1" width="9.140625"/>
    <col min="13943" max="13943" customWidth="1" width="9.140625"/>
    <col min="13944" max="13944" customWidth="1" width="9.140625"/>
    <col min="13945" max="13945" customWidth="1" width="9.140625"/>
    <col min="13946" max="13946" customWidth="1" width="9.140625"/>
    <col min="13947" max="13947" customWidth="1" width="9.140625"/>
    <col min="13948" max="13948" customWidth="1" width="9.140625"/>
    <col min="13949" max="13949" customWidth="1" width="9.140625"/>
    <col min="13950" max="13950" customWidth="1" width="9.140625"/>
    <col min="13951" max="13951" customWidth="1" width="9.140625"/>
    <col min="13952" max="13952" customWidth="1" width="9.140625"/>
    <col min="13953" max="13953" customWidth="1" width="9.140625"/>
    <col min="13954" max="13954" customWidth="1" width="9.140625"/>
    <col min="13955" max="13955" customWidth="1" width="9.140625"/>
    <col min="13956" max="13956" customWidth="1" width="9.140625"/>
    <col min="13957" max="13957" customWidth="1" width="9.140625"/>
    <col min="13958" max="13958" customWidth="1" width="9.140625"/>
    <col min="13959" max="13959" customWidth="1" width="9.140625"/>
    <col min="13960" max="13960" customWidth="1" width="9.140625"/>
    <col min="13961" max="13961" customWidth="1" width="9.140625"/>
    <col min="13962" max="13962" customWidth="1" width="9.140625"/>
    <col min="13963" max="13963" customWidth="1" width="9.140625"/>
    <col min="13964" max="13964" customWidth="1" width="9.140625"/>
    <col min="13965" max="13965" customWidth="1" width="9.140625"/>
    <col min="13966" max="13966" customWidth="1" width="9.140625"/>
    <col min="13967" max="13967" customWidth="1" width="9.140625"/>
    <col min="13968" max="13968" customWidth="1" width="9.140625"/>
    <col min="13969" max="13969" customWidth="1" width="9.140625"/>
    <col min="13970" max="13970" customWidth="1" width="9.140625"/>
    <col min="13971" max="13971" customWidth="1" width="9.140625"/>
    <col min="13972" max="13972" customWidth="1" width="9.140625"/>
    <col min="13973" max="13973" customWidth="1" width="9.140625"/>
    <col min="13974" max="13974" customWidth="1" width="9.140625"/>
    <col min="13975" max="13975" customWidth="1" width="9.140625"/>
    <col min="13976" max="13976" customWidth="1" width="9.140625"/>
    <col min="13977" max="13977" customWidth="1" width="9.140625"/>
    <col min="13978" max="13978" customWidth="1" width="9.140625"/>
    <col min="13979" max="13979" customWidth="1" width="9.140625"/>
    <col min="13980" max="13980" customWidth="1" width="9.140625"/>
    <col min="13981" max="13981" customWidth="1" width="9.140625"/>
    <col min="13982" max="13982" customWidth="1" width="9.140625"/>
    <col min="13983" max="13983" customWidth="1" width="9.140625"/>
    <col min="13984" max="13984" customWidth="1" width="9.140625"/>
    <col min="13985" max="13985" customWidth="1" width="9.140625"/>
    <col min="13986" max="13986" customWidth="1" width="9.140625"/>
    <col min="13987" max="13987" customWidth="1" width="9.140625"/>
    <col min="13988" max="13988" customWidth="1" width="9.140625"/>
    <col min="13989" max="13989" customWidth="1" width="9.140625"/>
    <col min="13990" max="13990" customWidth="1" width="9.140625"/>
    <col min="13991" max="13991" customWidth="1" width="9.140625"/>
    <col min="13992" max="13992" customWidth="1" width="9.140625"/>
    <col min="13993" max="13993" customWidth="1" width="9.140625"/>
    <col min="13994" max="13994" customWidth="1" width="9.140625"/>
    <col min="13995" max="13995" customWidth="1" width="9.140625"/>
    <col min="13996" max="13996" customWidth="1" width="9.140625"/>
    <col min="13997" max="13997" customWidth="1" width="9.140625"/>
    <col min="13998" max="13998" customWidth="1" width="9.140625"/>
    <col min="13999" max="13999" customWidth="1" width="9.140625"/>
    <col min="14000" max="14000" customWidth="1" width="9.140625"/>
    <col min="14001" max="14001" customWidth="1" width="9.140625"/>
    <col min="14002" max="14002" customWidth="1" width="9.140625"/>
    <col min="14003" max="14003" customWidth="1" width="9.140625"/>
    <col min="14004" max="14004" customWidth="1" width="9.140625"/>
    <col min="14005" max="14005" customWidth="1" width="9.140625"/>
    <col min="14006" max="14006" customWidth="1" width="9.140625"/>
    <col min="14007" max="14007" customWidth="1" width="9.140625"/>
    <col min="14008" max="14008" customWidth="1" width="9.140625"/>
    <col min="14009" max="14009" customWidth="1" width="9.140625"/>
    <col min="14010" max="14010" customWidth="1" width="9.140625"/>
    <col min="14011" max="14011" customWidth="1" width="9.140625"/>
    <col min="14012" max="14012" customWidth="1" width="9.140625"/>
    <col min="14013" max="14013" customWidth="1" width="9.140625"/>
    <col min="14014" max="14014" customWidth="1" width="9.140625"/>
    <col min="14015" max="14015" customWidth="1" width="9.140625"/>
    <col min="14016" max="14016" customWidth="1" width="9.140625"/>
    <col min="14017" max="14017" customWidth="1" width="9.140625"/>
    <col min="14018" max="14018" customWidth="1" width="9.140625"/>
    <col min="14019" max="14019" customWidth="1" width="9.140625"/>
    <col min="14020" max="14020" customWidth="1" width="9.140625"/>
    <col min="14021" max="14021" customWidth="1" width="9.140625"/>
    <col min="14022" max="14022" customWidth="1" width="9.140625"/>
    <col min="14023" max="14023" customWidth="1" width="9.140625"/>
    <col min="14024" max="14024" customWidth="1" width="9.140625"/>
    <col min="14025" max="14025" customWidth="1" width="9.140625"/>
    <col min="14026" max="14026" customWidth="1" width="9.140625"/>
    <col min="14027" max="14027" customWidth="1" width="9.140625"/>
    <col min="14028" max="14028" customWidth="1" width="9.140625"/>
    <col min="14029" max="14029" customWidth="1" width="9.140625"/>
    <col min="14030" max="14030" customWidth="1" width="9.140625"/>
    <col min="14031" max="14031" customWidth="1" width="9.140625"/>
    <col min="14032" max="14032" customWidth="1" width="9.140625"/>
    <col min="14033" max="14033" customWidth="1" width="9.140625"/>
    <col min="14034" max="14034" customWidth="1" width="9.140625"/>
    <col min="14035" max="14035" customWidth="1" width="9.140625"/>
    <col min="14036" max="14036" customWidth="1" width="9.140625"/>
    <col min="14037" max="14037" customWidth="1" width="9.140625"/>
    <col min="14038" max="14038" customWidth="1" width="9.140625"/>
    <col min="14039" max="14039" customWidth="1" width="9.140625"/>
    <col min="14040" max="14040" customWidth="1" width="9.140625"/>
    <col min="14041" max="14041" customWidth="1" width="9.140625"/>
    <col min="14042" max="14042" customWidth="1" width="9.140625"/>
    <col min="14043" max="14043" customWidth="1" width="9.140625"/>
    <col min="14044" max="14044" customWidth="1" width="9.140625"/>
    <col min="14045" max="14045" customWidth="1" width="9.140625"/>
    <col min="14046" max="14046" customWidth="1" width="9.140625"/>
    <col min="14047" max="14047" customWidth="1" width="9.140625"/>
    <col min="14048" max="14048" customWidth="1" width="9.140625"/>
    <col min="14049" max="14049" customWidth="1" width="9.140625"/>
    <col min="14050" max="14050" customWidth="1" width="9.140625"/>
    <col min="14051" max="14051" customWidth="1" width="9.140625"/>
    <col min="14052" max="14052" customWidth="1" width="9.140625"/>
    <col min="14053" max="14053" customWidth="1" width="9.140625"/>
    <col min="14054" max="14054" customWidth="1" width="9.140625"/>
    <col min="14055" max="14055" customWidth="1" width="9.140625"/>
    <col min="14056" max="14056" customWidth="1" width="9.140625"/>
    <col min="14057" max="14057" customWidth="1" width="9.140625"/>
    <col min="14058" max="14058" customWidth="1" width="9.140625"/>
    <col min="14059" max="14059" customWidth="1" width="9.140625"/>
    <col min="14060" max="14060" customWidth="1" width="9.140625"/>
    <col min="14061" max="14061" customWidth="1" width="9.140625"/>
    <col min="14062" max="14062" customWidth="1" width="9.140625"/>
    <col min="14063" max="14063" customWidth="1" width="9.140625"/>
    <col min="14064" max="14064" customWidth="1" width="9.140625"/>
    <col min="14065" max="14065" customWidth="1" width="9.140625"/>
    <col min="14066" max="14066" customWidth="1" width="9.140625"/>
    <col min="14067" max="14067" customWidth="1" width="9.140625"/>
    <col min="14068" max="14068" customWidth="1" width="9.140625"/>
    <col min="14069" max="14069" customWidth="1" width="9.140625"/>
    <col min="14070" max="14070" customWidth="1" width="9.140625"/>
    <col min="14071" max="14071" customWidth="1" width="9.140625"/>
    <col min="14072" max="14072" customWidth="1" width="9.140625"/>
    <col min="14073" max="14073" customWidth="1" width="9.140625"/>
    <col min="14074" max="14074" customWidth="1" width="9.140625"/>
    <col min="14075" max="14075" customWidth="1" width="9.140625"/>
    <col min="14076" max="14076" customWidth="1" width="9.140625"/>
    <col min="14077" max="14077" customWidth="1" width="9.140625"/>
    <col min="14078" max="14078" customWidth="1" width="9.140625"/>
    <col min="14079" max="14079" customWidth="1" width="9.140625"/>
    <col min="14080" max="14080" customWidth="1" width="9.140625"/>
    <col min="14081" max="14081" customWidth="1" width="9.140625"/>
    <col min="14082" max="14082" customWidth="1" width="9.140625"/>
    <col min="14083" max="14083" customWidth="1" width="9.140625"/>
    <col min="14084" max="14084" customWidth="1" width="9.140625"/>
    <col min="14085" max="14085" customWidth="1" width="9.140625"/>
    <col min="14086" max="14086" customWidth="1" width="9.140625"/>
    <col min="14087" max="14087" customWidth="1" width="9.140625"/>
    <col min="14088" max="14088" customWidth="1" width="9.140625"/>
    <col min="14089" max="14089" customWidth="1" width="9.140625"/>
    <col min="14090" max="14090" customWidth="1" width="9.140625"/>
    <col min="14091" max="14091" customWidth="1" width="9.140625"/>
    <col min="14092" max="14092" customWidth="1" width="9.140625"/>
    <col min="14093" max="14093" customWidth="1" width="9.140625"/>
    <col min="14094" max="14094" customWidth="1" width="9.140625"/>
    <col min="14095" max="14095" customWidth="1" width="9.140625"/>
    <col min="14096" max="14096" customWidth="1" width="9.140625"/>
    <col min="14097" max="14097" customWidth="1" width="9.140625"/>
    <col min="14098" max="14098" customWidth="1" width="9.140625"/>
    <col min="14099" max="14099" customWidth="1" width="9.140625"/>
    <col min="14100" max="14100" customWidth="1" width="9.140625"/>
    <col min="14101" max="14101" customWidth="1" width="9.140625"/>
    <col min="14102" max="14102" customWidth="1" width="9.140625"/>
    <col min="14103" max="14103" customWidth="1" width="9.140625"/>
    <col min="14104" max="14104" customWidth="1" width="9.140625"/>
    <col min="14105" max="14105" customWidth="1" width="9.140625"/>
    <col min="14106" max="14106" customWidth="1" width="9.140625"/>
    <col min="14107" max="14107" customWidth="1" width="9.140625"/>
    <col min="14108" max="14108" customWidth="1" width="9.140625"/>
    <col min="14109" max="14109" customWidth="1" width="9.140625"/>
    <col min="14110" max="14110" customWidth="1" width="9.140625"/>
    <col min="14111" max="14111" customWidth="1" width="9.140625"/>
    <col min="14112" max="14112" customWidth="1" width="9.140625"/>
    <col min="14113" max="14113" customWidth="1" width="9.140625"/>
    <col min="14114" max="14114" customWidth="1" width="9.140625"/>
    <col min="14115" max="14115" customWidth="1" width="9.140625"/>
    <col min="14116" max="14116" customWidth="1" width="9.140625"/>
    <col min="14117" max="14117" customWidth="1" width="9.140625"/>
    <col min="14118" max="14118" customWidth="1" width="9.140625"/>
    <col min="14119" max="14119" customWidth="1" width="9.140625"/>
    <col min="14120" max="14120" customWidth="1" width="9.140625"/>
    <col min="14121" max="14121" customWidth="1" width="9.140625"/>
    <col min="14122" max="14122" customWidth="1" width="9.140625"/>
    <col min="14123" max="14123" customWidth="1" width="9.140625"/>
    <col min="14124" max="14124" customWidth="1" width="9.140625"/>
    <col min="14125" max="14125" customWidth="1" width="9.140625"/>
    <col min="14126" max="14126" customWidth="1" width="9.140625"/>
    <col min="14127" max="14127" customWidth="1" width="9.140625"/>
    <col min="14128" max="14128" customWidth="1" width="9.140625"/>
    <col min="14129" max="14129" customWidth="1" width="9.140625"/>
    <col min="14130" max="14130" customWidth="1" width="9.140625"/>
    <col min="14131" max="14131" customWidth="1" width="9.140625"/>
    <col min="14132" max="14132" customWidth="1" width="9.140625"/>
    <col min="14133" max="14133" customWidth="1" width="9.140625"/>
    <col min="14134" max="14134" customWidth="1" width="9.140625"/>
    <col min="14135" max="14135" customWidth="1" width="9.140625"/>
    <col min="14136" max="14136" customWidth="1" width="9.140625"/>
    <col min="14137" max="14137" customWidth="1" width="9.140625"/>
    <col min="14138" max="14138" customWidth="1" width="9.140625"/>
    <col min="14139" max="14139" customWidth="1" width="9.140625"/>
    <col min="14140" max="14140" customWidth="1" width="9.140625"/>
    <col min="14141" max="14141" customWidth="1" width="9.140625"/>
    <col min="14142" max="14142" customWidth="1" width="9.140625"/>
    <col min="14143" max="14143" customWidth="1" width="9.140625"/>
    <col min="14144" max="14144" customWidth="1" width="9.140625"/>
    <col min="14145" max="14145" customWidth="1" width="9.140625"/>
    <col min="14146" max="14146" customWidth="1" width="9.140625"/>
    <col min="14147" max="14147" customWidth="1" width="9.140625"/>
    <col min="14148" max="14148" customWidth="1" width="9.140625"/>
    <col min="14149" max="14149" customWidth="1" width="9.140625"/>
    <col min="14150" max="14150" customWidth="1" width="9.140625"/>
    <col min="14151" max="14151" customWidth="1" width="9.140625"/>
    <col min="14152" max="14152" customWidth="1" width="9.140625"/>
    <col min="14153" max="14153" customWidth="1" width="9.140625"/>
    <col min="14154" max="14154" customWidth="1" width="9.140625"/>
    <col min="14155" max="14155" customWidth="1" width="9.140625"/>
    <col min="14156" max="14156" customWidth="1" width="9.140625"/>
    <col min="14157" max="14157" customWidth="1" width="9.140625"/>
    <col min="14158" max="14158" customWidth="1" width="9.140625"/>
    <col min="14159" max="14159" customWidth="1" width="9.140625"/>
    <col min="14160" max="14160" customWidth="1" width="9.140625"/>
    <col min="14161" max="14161" customWidth="1" width="9.140625"/>
    <col min="14162" max="14162" customWidth="1" width="9.140625"/>
    <col min="14163" max="14163" customWidth="1" width="9.140625"/>
    <col min="14164" max="14164" customWidth="1" width="9.140625"/>
    <col min="14165" max="14165" customWidth="1" width="9.140625"/>
    <col min="14166" max="14166" customWidth="1" width="9.140625"/>
    <col min="14167" max="14167" customWidth="1" width="9.140625"/>
    <col min="14168" max="14168" customWidth="1" width="9.140625"/>
    <col min="14169" max="14169" customWidth="1" width="9.140625"/>
    <col min="14170" max="14170" customWidth="1" width="9.140625"/>
    <col min="14171" max="14171" customWidth="1" width="9.140625"/>
    <col min="14172" max="14172" customWidth="1" width="9.140625"/>
    <col min="14173" max="14173" customWidth="1" width="9.140625"/>
    <col min="14174" max="14174" customWidth="1" width="9.140625"/>
    <col min="14175" max="14175" customWidth="1" width="9.140625"/>
    <col min="14176" max="14176" customWidth="1" width="9.140625"/>
    <col min="14177" max="14177" customWidth="1" width="9.140625"/>
    <col min="14178" max="14178" customWidth="1" width="9.140625"/>
    <col min="14179" max="14179" customWidth="1" width="9.140625"/>
    <col min="14180" max="14180" customWidth="1" width="9.140625"/>
    <col min="14181" max="14181" customWidth="1" width="9.140625"/>
    <col min="14182" max="14182" customWidth="1" width="9.140625"/>
    <col min="14183" max="14183" customWidth="1" width="9.140625"/>
    <col min="14184" max="14184" customWidth="1" width="9.140625"/>
    <col min="14185" max="14185" customWidth="1" width="9.140625"/>
    <col min="14186" max="14186" customWidth="1" width="9.140625"/>
    <col min="14187" max="14187" customWidth="1" width="9.140625"/>
    <col min="14188" max="14188" customWidth="1" width="9.140625"/>
    <col min="14189" max="14189" customWidth="1" width="9.140625"/>
    <col min="14190" max="14190" customWidth="1" width="9.140625"/>
    <col min="14191" max="14191" customWidth="1" width="9.140625"/>
    <col min="14192" max="14192" customWidth="1" width="9.140625"/>
    <col min="14193" max="14193" customWidth="1" width="9.140625"/>
    <col min="14194" max="14194" customWidth="1" width="9.140625"/>
    <col min="14195" max="14195" customWidth="1" width="9.140625"/>
    <col min="14196" max="14196" customWidth="1" width="9.140625"/>
    <col min="14197" max="14197" customWidth="1" width="9.140625"/>
    <col min="14198" max="14198" customWidth="1" width="9.140625"/>
    <col min="14199" max="14199" customWidth="1" width="9.140625"/>
    <col min="14200" max="14200" customWidth="1" width="9.140625"/>
    <col min="14201" max="14201" customWidth="1" width="9.140625"/>
    <col min="14202" max="14202" customWidth="1" width="9.140625"/>
    <col min="14203" max="14203" customWidth="1" width="9.140625"/>
    <col min="14204" max="14204" customWidth="1" width="9.140625"/>
    <col min="14205" max="14205" customWidth="1" width="9.140625"/>
    <col min="14206" max="14206" customWidth="1" width="9.140625"/>
    <col min="14207" max="14207" customWidth="1" width="9.140625"/>
    <col min="14208" max="14208" customWidth="1" width="9.140625"/>
    <col min="14209" max="14209" customWidth="1" width="9.140625"/>
    <col min="14210" max="14210" customWidth="1" width="9.140625"/>
    <col min="14211" max="14211" customWidth="1" width="9.140625"/>
    <col min="14212" max="14212" customWidth="1" width="9.140625"/>
    <col min="14213" max="14213" customWidth="1" width="9.140625"/>
    <col min="14214" max="14214" customWidth="1" width="9.140625"/>
    <col min="14215" max="14215" customWidth="1" width="9.140625"/>
    <col min="14216" max="14216" customWidth="1" width="9.140625"/>
    <col min="14217" max="14217" customWidth="1" width="9.140625"/>
    <col min="14218" max="14218" customWidth="1" width="9.140625"/>
    <col min="14219" max="14219" customWidth="1" width="9.140625"/>
    <col min="14220" max="14220" customWidth="1" width="9.140625"/>
    <col min="14221" max="14221" customWidth="1" width="9.140625"/>
    <col min="14222" max="14222" customWidth="1" width="9.140625"/>
    <col min="14223" max="14223" customWidth="1" width="9.140625"/>
    <col min="14224" max="14224" customWidth="1" width="9.140625"/>
    <col min="14225" max="14225" customWidth="1" width="9.140625"/>
    <col min="14226" max="14226" customWidth="1" width="9.140625"/>
    <col min="14227" max="14227" customWidth="1" width="9.140625"/>
    <col min="14228" max="14228" customWidth="1" width="9.140625"/>
    <col min="14229" max="14229" customWidth="1" width="9.140625"/>
    <col min="14230" max="14230" customWidth="1" width="9.140625"/>
    <col min="14231" max="14231" customWidth="1" width="9.140625"/>
    <col min="14232" max="14232" customWidth="1" width="9.140625"/>
    <col min="14233" max="14233" customWidth="1" width="9.140625"/>
    <col min="14234" max="14234" customWidth="1" width="9.140625"/>
    <col min="14235" max="14235" customWidth="1" width="9.140625"/>
    <col min="14236" max="14236" customWidth="1" width="9.140625"/>
    <col min="14237" max="14237" customWidth="1" width="9.140625"/>
    <col min="14238" max="14238" customWidth="1" width="9.140625"/>
    <col min="14239" max="14239" customWidth="1" width="9.140625"/>
    <col min="14240" max="14240" customWidth="1" width="9.140625"/>
    <col min="14241" max="14241" customWidth="1" width="9.140625"/>
    <col min="14242" max="14242" customWidth="1" width="9.140625"/>
    <col min="14243" max="14243" customWidth="1" width="9.140625"/>
    <col min="14244" max="14244" customWidth="1" width="9.140625"/>
    <col min="14245" max="14245" customWidth="1" width="9.140625"/>
    <col min="14246" max="14246" customWidth="1" width="9.140625"/>
    <col min="14247" max="14247" customWidth="1" width="9.140625"/>
    <col min="14248" max="14248" customWidth="1" width="9.140625"/>
    <col min="14249" max="14249" customWidth="1" width="9.140625"/>
    <col min="14250" max="14250" customWidth="1" width="9.140625"/>
    <col min="14251" max="14251" customWidth="1" width="9.140625"/>
    <col min="14252" max="14252" customWidth="1" width="9.140625"/>
    <col min="14253" max="14253" customWidth="1" width="9.140625"/>
    <col min="14254" max="14254" customWidth="1" width="9.140625"/>
    <col min="14255" max="14255" customWidth="1" width="9.140625"/>
    <col min="14256" max="14256" customWidth="1" width="9.140625"/>
    <col min="14257" max="14257" customWidth="1" width="9.140625"/>
    <col min="14258" max="14258" customWidth="1" width="9.140625"/>
    <col min="14259" max="14259" customWidth="1" width="9.140625"/>
    <col min="14260" max="14260" customWidth="1" width="9.140625"/>
    <col min="14261" max="14261" customWidth="1" width="9.140625"/>
    <col min="14262" max="14262" customWidth="1" width="9.140625"/>
    <col min="14263" max="14263" customWidth="1" width="9.140625"/>
    <col min="14264" max="14264" customWidth="1" width="9.140625"/>
    <col min="14265" max="14265" customWidth="1" width="9.140625"/>
    <col min="14266" max="14266" customWidth="1" width="9.140625"/>
    <col min="14267" max="14267" customWidth="1" width="9.140625"/>
    <col min="14268" max="14268" customWidth="1" width="9.140625"/>
    <col min="14269" max="14269" customWidth="1" width="9.140625"/>
    <col min="14270" max="14270" customWidth="1" width="9.140625"/>
    <col min="14271" max="14271" customWidth="1" width="9.140625"/>
    <col min="14272" max="14272" customWidth="1" width="9.140625"/>
    <col min="14273" max="14273" customWidth="1" width="9.140625"/>
    <col min="14274" max="14274" customWidth="1" width="9.140625"/>
    <col min="14275" max="14275" customWidth="1" width="9.140625"/>
    <col min="14276" max="14276" customWidth="1" width="9.140625"/>
    <col min="14277" max="14277" customWidth="1" width="9.140625"/>
    <col min="14278" max="14278" customWidth="1" width="9.140625"/>
    <col min="14279" max="14279" customWidth="1" width="9.140625"/>
    <col min="14280" max="14280" customWidth="1" width="9.140625"/>
    <col min="14281" max="14281" customWidth="1" width="9.140625"/>
    <col min="14282" max="14282" customWidth="1" width="9.140625"/>
    <col min="14283" max="14283" customWidth="1" width="9.140625"/>
    <col min="14284" max="14284" customWidth="1" width="9.140625"/>
    <col min="14285" max="14285" customWidth="1" width="9.140625"/>
    <col min="14286" max="14286" customWidth="1" width="9.140625"/>
    <col min="14287" max="14287" customWidth="1" width="9.140625"/>
    <col min="14288" max="14288" customWidth="1" width="9.140625"/>
    <col min="14289" max="14289" customWidth="1" width="9.140625"/>
    <col min="14290" max="14290" customWidth="1" width="9.140625"/>
    <col min="14291" max="14291" customWidth="1" width="9.140625"/>
    <col min="14292" max="14292" customWidth="1" width="9.140625"/>
    <col min="14293" max="14293" customWidth="1" width="9.140625"/>
    <col min="14294" max="14294" customWidth="1" width="9.140625"/>
    <col min="14295" max="14295" customWidth="1" width="9.140625"/>
    <col min="14296" max="14296" customWidth="1" width="9.140625"/>
    <col min="14297" max="14297" customWidth="1" width="9.140625"/>
    <col min="14298" max="14298" customWidth="1" width="9.140625"/>
    <col min="14299" max="14299" customWidth="1" width="9.140625"/>
    <col min="14300" max="14300" customWidth="1" width="9.140625"/>
    <col min="14301" max="14301" customWidth="1" width="9.140625"/>
    <col min="14302" max="14302" customWidth="1" width="9.140625"/>
    <col min="14303" max="14303" customWidth="1" width="9.140625"/>
    <col min="14304" max="14304" customWidth="1" width="9.140625"/>
    <col min="14305" max="14305" customWidth="1" width="9.140625"/>
    <col min="14306" max="14306" customWidth="1" width="9.140625"/>
    <col min="14307" max="14307" customWidth="1" width="9.140625"/>
    <col min="14308" max="14308" customWidth="1" width="9.140625"/>
    <col min="14309" max="14309" customWidth="1" width="9.140625"/>
    <col min="14310" max="14310" customWidth="1" width="9.140625"/>
    <col min="14311" max="14311" customWidth="1" width="9.140625"/>
    <col min="14312" max="14312" customWidth="1" width="9.140625"/>
    <col min="14313" max="14313" customWidth="1" width="9.140625"/>
    <col min="14314" max="14314" customWidth="1" width="9.140625"/>
    <col min="14315" max="14315" customWidth="1" width="9.140625"/>
    <col min="14316" max="14316" customWidth="1" width="9.140625"/>
    <col min="14317" max="14317" customWidth="1" width="9.140625"/>
    <col min="14318" max="14318" customWidth="1" width="9.140625"/>
    <col min="14319" max="14319" customWidth="1" width="9.140625"/>
    <col min="14320" max="14320" customWidth="1" width="9.140625"/>
    <col min="14321" max="14321" customWidth="1" width="9.140625"/>
    <col min="14322" max="14322" customWidth="1" width="9.140625"/>
    <col min="14323" max="14323" customWidth="1" width="9.140625"/>
    <col min="14324" max="14324" customWidth="1" width="9.140625"/>
    <col min="14325" max="14325" customWidth="1" width="9.140625"/>
    <col min="14326" max="14326" customWidth="1" width="9.140625"/>
    <col min="14327" max="14327" customWidth="1" width="9.140625"/>
    <col min="14328" max="14328" customWidth="1" width="9.140625"/>
    <col min="14329" max="14329" customWidth="1" width="9.140625"/>
    <col min="14330" max="14330" customWidth="1" width="9.140625"/>
    <col min="14331" max="14331" customWidth="1" width="9.140625"/>
    <col min="14332" max="14332" customWidth="1" width="9.140625"/>
    <col min="14333" max="14333" customWidth="1" width="9.140625"/>
    <col min="14334" max="14334" customWidth="1" width="9.140625"/>
    <col min="14335" max="14335" customWidth="1" width="9.140625"/>
    <col min="14336" max="14336" customWidth="1" width="9.140625"/>
    <col min="14337" max="14337" customWidth="1" width="9.140625"/>
    <col min="14338" max="14338" customWidth="1" width="9.140625"/>
    <col min="14339" max="14339" customWidth="1" width="9.140625"/>
    <col min="14340" max="14340" customWidth="1" width="9.140625"/>
    <col min="14341" max="14341" customWidth="1" width="9.140625"/>
    <col min="14342" max="14342" customWidth="1" width="9.140625"/>
    <col min="14343" max="14343" customWidth="1" width="9.140625"/>
    <col min="14344" max="14344" customWidth="1" width="9.140625"/>
    <col min="14345" max="14345" customWidth="1" width="9.140625"/>
    <col min="14346" max="14346" customWidth="1" width="9.140625"/>
    <col min="14347" max="14347" customWidth="1" width="9.140625"/>
    <col min="14348" max="14348" customWidth="1" width="9.140625"/>
    <col min="14349" max="14349" customWidth="1" width="9.140625"/>
    <col min="14350" max="14350" customWidth="1" width="9.140625"/>
    <col min="14351" max="14351" customWidth="1" width="9.140625"/>
    <col min="14352" max="14352" customWidth="1" width="9.140625"/>
    <col min="14353" max="14353" customWidth="1" width="9.140625"/>
    <col min="14354" max="14354" customWidth="1" width="9.140625"/>
    <col min="14355" max="14355" customWidth="1" width="9.140625"/>
    <col min="14356" max="14356" customWidth="1" width="9.140625"/>
    <col min="14357" max="14357" customWidth="1" width="9.140625"/>
    <col min="14358" max="14358" customWidth="1" width="9.140625"/>
    <col min="14359" max="14359" customWidth="1" width="9.140625"/>
    <col min="14360" max="14360" customWidth="1" width="9.140625"/>
    <col min="14361" max="14361" customWidth="1" width="9.140625"/>
    <col min="14362" max="14362" customWidth="1" width="9.140625"/>
    <col min="14363" max="14363" customWidth="1" width="9.140625"/>
    <col min="14364" max="14364" customWidth="1" width="9.140625"/>
    <col min="14365" max="14365" customWidth="1" width="9.140625"/>
    <col min="14366" max="14366" customWidth="1" width="9.140625"/>
    <col min="14367" max="14367" customWidth="1" width="9.140625"/>
    <col min="14368" max="14368" customWidth="1" width="9.140625"/>
    <col min="14369" max="14369" customWidth="1" width="9.140625"/>
    <col min="14370" max="14370" customWidth="1" width="9.140625"/>
    <col min="14371" max="14371" customWidth="1" width="9.140625"/>
    <col min="14372" max="14372" customWidth="1" width="9.140625"/>
    <col min="14373" max="14373" customWidth="1" width="9.140625"/>
    <col min="14374" max="14374" customWidth="1" width="9.140625"/>
    <col min="14375" max="14375" customWidth="1" width="9.140625"/>
    <col min="14376" max="14376" customWidth="1" width="9.140625"/>
    <col min="14377" max="14377" customWidth="1" width="9.140625"/>
    <col min="14378" max="14378" customWidth="1" width="9.140625"/>
    <col min="14379" max="14379" customWidth="1" width="9.140625"/>
    <col min="14380" max="14380" customWidth="1" width="9.140625"/>
    <col min="14381" max="14381" customWidth="1" width="9.140625"/>
    <col min="14382" max="14382" customWidth="1" width="9.140625"/>
    <col min="14383" max="14383" customWidth="1" width="9.140625"/>
    <col min="14384" max="14384" customWidth="1" width="9.140625"/>
    <col min="14385" max="14385" customWidth="1" width="9.140625"/>
    <col min="14386" max="14386" customWidth="1" width="9.140625"/>
    <col min="14387" max="14387" customWidth="1" width="9.140625"/>
    <col min="14388" max="14388" customWidth="1" width="9.140625"/>
    <col min="14389" max="14389" customWidth="1" width="9.140625"/>
    <col min="14390" max="14390" customWidth="1" width="9.140625"/>
    <col min="14391" max="14391" customWidth="1" width="9.140625"/>
    <col min="14392" max="14392" customWidth="1" width="9.140625"/>
    <col min="14393" max="14393" customWidth="1" width="9.140625"/>
    <col min="14394" max="14394" customWidth="1" width="9.140625"/>
    <col min="14395" max="14395" customWidth="1" width="9.140625"/>
    <col min="14396" max="14396" customWidth="1" width="9.140625"/>
    <col min="14397" max="14397" customWidth="1" width="9.140625"/>
    <col min="14398" max="14398" customWidth="1" width="9.140625"/>
    <col min="14399" max="14399" customWidth="1" width="9.140625"/>
    <col min="14400" max="14400" customWidth="1" width="9.140625"/>
    <col min="14401" max="14401" customWidth="1" width="9.140625"/>
    <col min="14402" max="14402" customWidth="1" width="9.140625"/>
    <col min="14403" max="14403" customWidth="1" width="9.140625"/>
    <col min="14404" max="14404" customWidth="1" width="9.140625"/>
    <col min="14405" max="14405" customWidth="1" width="9.140625"/>
    <col min="14406" max="14406" customWidth="1" width="9.140625"/>
    <col min="14407" max="14407" customWidth="1" width="9.140625"/>
    <col min="14408" max="14408" customWidth="1" width="9.140625"/>
    <col min="14409" max="14409" customWidth="1" width="9.140625"/>
    <col min="14410" max="14410" customWidth="1" width="9.140625"/>
    <col min="14411" max="14411" customWidth="1" width="9.140625"/>
    <col min="14412" max="14412" customWidth="1" width="9.140625"/>
    <col min="14413" max="14413" customWidth="1" width="9.140625"/>
    <col min="14414" max="14414" customWidth="1" width="9.140625"/>
    <col min="14415" max="14415" customWidth="1" width="9.140625"/>
    <col min="14416" max="14416" customWidth="1" width="9.140625"/>
    <col min="14417" max="14417" customWidth="1" width="9.140625"/>
    <col min="14418" max="14418" customWidth="1" width="9.140625"/>
    <col min="14419" max="14419" customWidth="1" width="9.140625"/>
    <col min="14420" max="14420" customWidth="1" width="9.140625"/>
    <col min="14421" max="14421" customWidth="1" width="9.140625"/>
    <col min="14422" max="14422" customWidth="1" width="9.140625"/>
    <col min="14423" max="14423" customWidth="1" width="9.140625"/>
    <col min="14424" max="14424" customWidth="1" width="9.140625"/>
    <col min="14425" max="14425" customWidth="1" width="9.140625"/>
    <col min="14426" max="14426" customWidth="1" width="9.140625"/>
    <col min="14427" max="14427" customWidth="1" width="9.140625"/>
    <col min="14428" max="14428" customWidth="1" width="9.140625"/>
    <col min="14429" max="14429" customWidth="1" width="9.140625"/>
    <col min="14430" max="14430" customWidth="1" width="9.140625"/>
    <col min="14431" max="14431" customWidth="1" width="9.140625"/>
    <col min="14432" max="14432" customWidth="1" width="9.140625"/>
    <col min="14433" max="14433" customWidth="1" width="9.140625"/>
    <col min="14434" max="14434" customWidth="1" width="9.140625"/>
    <col min="14435" max="14435" customWidth="1" width="9.140625"/>
    <col min="14436" max="14436" customWidth="1" width="9.140625"/>
    <col min="14437" max="14437" customWidth="1" width="9.140625"/>
    <col min="14438" max="14438" customWidth="1" width="9.140625"/>
    <col min="14439" max="14439" customWidth="1" width="9.140625"/>
    <col min="14440" max="14440" customWidth="1" width="9.140625"/>
    <col min="14441" max="14441" customWidth="1" width="9.140625"/>
    <col min="14442" max="14442" customWidth="1" width="9.140625"/>
    <col min="14443" max="14443" customWidth="1" width="9.140625"/>
    <col min="14444" max="14444" customWidth="1" width="9.140625"/>
    <col min="14445" max="14445" customWidth="1" width="9.140625"/>
    <col min="14446" max="14446" customWidth="1" width="9.140625"/>
    <col min="14447" max="14447" customWidth="1" width="9.140625"/>
    <col min="14448" max="14448" customWidth="1" width="9.140625"/>
    <col min="14449" max="14449" customWidth="1" width="9.140625"/>
    <col min="14450" max="14450" customWidth="1" width="9.140625"/>
    <col min="14451" max="14451" customWidth="1" width="9.140625"/>
    <col min="14452" max="14452" customWidth="1" width="9.140625"/>
    <col min="14453" max="14453" customWidth="1" width="9.140625"/>
    <col min="14454" max="14454" customWidth="1" width="9.140625"/>
    <col min="14455" max="14455" customWidth="1" width="9.140625"/>
    <col min="14456" max="14456" customWidth="1" width="9.140625"/>
    <col min="14457" max="14457" customWidth="1" width="9.140625"/>
    <col min="14458" max="14458" customWidth="1" width="9.140625"/>
    <col min="14459" max="14459" customWidth="1" width="9.140625"/>
    <col min="14460" max="14460" customWidth="1" width="9.140625"/>
    <col min="14461" max="14461" customWidth="1" width="9.140625"/>
    <col min="14462" max="14462" customWidth="1" width="9.140625"/>
    <col min="14463" max="14463" customWidth="1" width="9.140625"/>
    <col min="14464" max="14464" customWidth="1" width="9.140625"/>
    <col min="14465" max="14465" customWidth="1" width="9.140625"/>
    <col min="14466" max="14466" customWidth="1" width="9.140625"/>
    <col min="14467" max="14467" customWidth="1" width="9.140625"/>
    <col min="14468" max="14468" customWidth="1" width="9.140625"/>
    <col min="14469" max="14469" customWidth="1" width="9.140625"/>
    <col min="14470" max="14470" customWidth="1" width="9.140625"/>
    <col min="14471" max="14471" customWidth="1" width="9.140625"/>
    <col min="14472" max="14472" customWidth="1" width="9.140625"/>
    <col min="14473" max="14473" customWidth="1" width="9.140625"/>
    <col min="14474" max="14474" customWidth="1" width="9.140625"/>
    <col min="14475" max="14475" customWidth="1" width="9.140625"/>
    <col min="14476" max="14476" customWidth="1" width="9.140625"/>
    <col min="14477" max="14477" customWidth="1" width="9.140625"/>
    <col min="14478" max="14478" customWidth="1" width="9.140625"/>
    <col min="14479" max="14479" customWidth="1" width="9.140625"/>
    <col min="14480" max="14480" customWidth="1" width="9.140625"/>
    <col min="14481" max="14481" customWidth="1" width="9.140625"/>
    <col min="14482" max="14482" customWidth="1" width="9.140625"/>
    <col min="14483" max="14483" customWidth="1" width="9.140625"/>
    <col min="14484" max="14484" customWidth="1" width="9.140625"/>
    <col min="14485" max="14485" customWidth="1" width="9.140625"/>
    <col min="14486" max="14486" customWidth="1" width="9.140625"/>
    <col min="14487" max="14487" customWidth="1" width="9.140625"/>
    <col min="14488" max="14488" customWidth="1" width="9.140625"/>
    <col min="14489" max="14489" customWidth="1" width="9.140625"/>
    <col min="14490" max="14490" customWidth="1" width="9.140625"/>
    <col min="14491" max="14491" customWidth="1" width="9.140625"/>
    <col min="14492" max="14492" customWidth="1" width="9.140625"/>
    <col min="14493" max="14493" customWidth="1" width="9.140625"/>
    <col min="14494" max="14494" customWidth="1" width="9.140625"/>
    <col min="14495" max="14495" customWidth="1" width="9.140625"/>
    <col min="14496" max="14496" customWidth="1" width="9.140625"/>
    <col min="14497" max="14497" customWidth="1" width="9.140625"/>
    <col min="14498" max="14498" customWidth="1" width="9.140625"/>
    <col min="14499" max="14499" customWidth="1" width="9.140625"/>
    <col min="14500" max="14500" customWidth="1" width="9.140625"/>
    <col min="14501" max="14501" customWidth="1" width="9.140625"/>
    <col min="14502" max="14502" customWidth="1" width="9.140625"/>
    <col min="14503" max="14503" customWidth="1" width="9.140625"/>
    <col min="14504" max="14504" customWidth="1" width="9.140625"/>
    <col min="14505" max="14505" customWidth="1" width="9.140625"/>
    <col min="14506" max="14506" customWidth="1" width="9.140625"/>
    <col min="14507" max="14507" customWidth="1" width="9.140625"/>
    <col min="14508" max="14508" customWidth="1" width="9.140625"/>
    <col min="14509" max="14509" customWidth="1" width="9.140625"/>
    <col min="14510" max="14510" customWidth="1" width="9.140625"/>
    <col min="14511" max="14511" customWidth="1" width="9.140625"/>
    <col min="14512" max="14512" customWidth="1" width="9.140625"/>
    <col min="14513" max="14513" customWidth="1" width="9.140625"/>
    <col min="14514" max="14514" customWidth="1" width="9.140625"/>
    <col min="14515" max="14515" customWidth="1" width="9.140625"/>
    <col min="14516" max="14516" customWidth="1" width="9.140625"/>
    <col min="14517" max="14517" customWidth="1" width="9.140625"/>
    <col min="14518" max="14518" customWidth="1" width="9.140625"/>
    <col min="14519" max="14519" customWidth="1" width="9.140625"/>
    <col min="14520" max="14520" customWidth="1" width="9.140625"/>
    <col min="14521" max="14521" customWidth="1" width="9.140625"/>
    <col min="14522" max="14522" customWidth="1" width="9.140625"/>
    <col min="14523" max="14523" customWidth="1" width="9.140625"/>
    <col min="14524" max="14524" customWidth="1" width="9.140625"/>
    <col min="14525" max="14525" customWidth="1" width="9.140625"/>
    <col min="14526" max="14526" customWidth="1" width="9.140625"/>
    <col min="14527" max="14527" customWidth="1" width="9.140625"/>
    <col min="14528" max="14528" customWidth="1" width="9.140625"/>
    <col min="14529" max="14529" customWidth="1" width="9.140625"/>
    <col min="14530" max="14530" customWidth="1" width="9.140625"/>
    <col min="14531" max="14531" customWidth="1" width="9.140625"/>
    <col min="14532" max="14532" customWidth="1" width="9.140625"/>
    <col min="14533" max="14533" customWidth="1" width="9.140625"/>
    <col min="14534" max="14534" customWidth="1" width="9.140625"/>
    <col min="14535" max="14535" customWidth="1" width="9.140625"/>
    <col min="14536" max="14536" customWidth="1" width="9.140625"/>
    <col min="14537" max="14537" customWidth="1" width="9.140625"/>
    <col min="14538" max="14538" customWidth="1" width="9.140625"/>
    <col min="14539" max="14539" customWidth="1" width="9.140625"/>
    <col min="14540" max="14540" customWidth="1" width="9.140625"/>
    <col min="14541" max="14541" customWidth="1" width="9.140625"/>
    <col min="14542" max="14542" customWidth="1" width="9.140625"/>
    <col min="14543" max="14543" customWidth="1" width="9.140625"/>
    <col min="14544" max="14544" customWidth="1" width="9.140625"/>
    <col min="14545" max="14545" customWidth="1" width="9.140625"/>
    <col min="14546" max="14546" customWidth="1" width="9.140625"/>
    <col min="14547" max="14547" customWidth="1" width="9.140625"/>
    <col min="14548" max="14548" customWidth="1" width="9.140625"/>
    <col min="14549" max="14549" customWidth="1" width="9.140625"/>
    <col min="14550" max="14550" customWidth="1" width="9.140625"/>
    <col min="14551" max="14551" customWidth="1" width="9.140625"/>
    <col min="14552" max="14552" customWidth="1" width="9.140625"/>
    <col min="14553" max="14553" customWidth="1" width="9.140625"/>
    <col min="14554" max="14554" customWidth="1" width="9.140625"/>
    <col min="14555" max="14555" customWidth="1" width="9.140625"/>
    <col min="14556" max="14556" customWidth="1" width="9.140625"/>
    <col min="14557" max="14557" customWidth="1" width="9.140625"/>
    <col min="14558" max="14558" customWidth="1" width="9.140625"/>
    <col min="14559" max="14559" customWidth="1" width="9.140625"/>
    <col min="14560" max="14560" customWidth="1" width="9.140625"/>
    <col min="14561" max="14561" customWidth="1" width="9.140625"/>
    <col min="14562" max="14562" customWidth="1" width="9.140625"/>
    <col min="14563" max="14563" customWidth="1" width="9.140625"/>
    <col min="14564" max="14564" customWidth="1" width="9.140625"/>
    <col min="14565" max="14565" customWidth="1" width="9.140625"/>
    <col min="14566" max="14566" customWidth="1" width="9.140625"/>
    <col min="14567" max="14567" customWidth="1" width="9.140625"/>
    <col min="14568" max="14568" customWidth="1" width="9.140625"/>
    <col min="14569" max="14569" customWidth="1" width="9.140625"/>
    <col min="14570" max="14570" customWidth="1" width="9.140625"/>
    <col min="14571" max="14571" customWidth="1" width="9.140625"/>
    <col min="14572" max="14572" customWidth="1" width="9.140625"/>
    <col min="14573" max="14573" customWidth="1" width="9.140625"/>
    <col min="14574" max="14574" customWidth="1" width="9.140625"/>
    <col min="14575" max="14575" customWidth="1" width="9.140625"/>
    <col min="14576" max="14576" customWidth="1" width="9.140625"/>
    <col min="14577" max="14577" customWidth="1" width="9.140625"/>
    <col min="14578" max="14578" customWidth="1" width="9.140625"/>
    <col min="14579" max="14579" customWidth="1" width="9.140625"/>
    <col min="14580" max="14580" customWidth="1" width="9.140625"/>
    <col min="14581" max="14581" customWidth="1" width="9.140625"/>
    <col min="14582" max="14582" customWidth="1" width="9.140625"/>
    <col min="14583" max="14583" customWidth="1" width="9.140625"/>
    <col min="14584" max="14584" customWidth="1" width="9.140625"/>
    <col min="14585" max="14585" customWidth="1" width="9.140625"/>
    <col min="14586" max="14586" customWidth="1" width="9.140625"/>
    <col min="14587" max="14587" customWidth="1" width="9.140625"/>
    <col min="14588" max="14588" customWidth="1" width="9.140625"/>
    <col min="14589" max="14589" customWidth="1" width="9.140625"/>
    <col min="14590" max="14590" customWidth="1" width="9.140625"/>
    <col min="14591" max="14591" customWidth="1" width="9.140625"/>
    <col min="14592" max="14592" customWidth="1" width="9.140625"/>
    <col min="14593" max="14593" customWidth="1" width="9.140625"/>
    <col min="14594" max="14594" customWidth="1" width="9.140625"/>
    <col min="14595" max="14595" customWidth="1" width="9.140625"/>
    <col min="14596" max="14596" customWidth="1" width="9.140625"/>
    <col min="14597" max="14597" customWidth="1" width="9.140625"/>
    <col min="14598" max="14598" customWidth="1" width="9.140625"/>
    <col min="14599" max="14599" customWidth="1" width="9.140625"/>
    <col min="14600" max="14600" customWidth="1" width="9.140625"/>
    <col min="14601" max="14601" customWidth="1" width="9.140625"/>
    <col min="14602" max="14602" customWidth="1" width="9.140625"/>
    <col min="14603" max="14603" customWidth="1" width="9.140625"/>
    <col min="14604" max="14604" customWidth="1" width="9.140625"/>
    <col min="14605" max="14605" customWidth="1" width="9.140625"/>
    <col min="14606" max="14606" customWidth="1" width="9.140625"/>
    <col min="14607" max="14607" customWidth="1" width="9.140625"/>
    <col min="14608" max="14608" customWidth="1" width="9.140625"/>
    <col min="14609" max="14609" customWidth="1" width="9.140625"/>
    <col min="14610" max="14610" customWidth="1" width="9.140625"/>
    <col min="14611" max="14611" customWidth="1" width="9.140625"/>
    <col min="14612" max="14612" customWidth="1" width="9.140625"/>
    <col min="14613" max="14613" customWidth="1" width="9.140625"/>
    <col min="14614" max="14614" customWidth="1" width="9.140625"/>
    <col min="14615" max="14615" customWidth="1" width="9.140625"/>
    <col min="14616" max="14616" customWidth="1" width="9.140625"/>
    <col min="14617" max="14617" customWidth="1" width="9.140625"/>
    <col min="14618" max="14618" customWidth="1" width="9.140625"/>
    <col min="14619" max="14619" customWidth="1" width="9.140625"/>
    <col min="14620" max="14620" customWidth="1" width="9.140625"/>
    <col min="14621" max="14621" customWidth="1" width="9.140625"/>
    <col min="14622" max="14622" customWidth="1" width="9.140625"/>
    <col min="14623" max="14623" customWidth="1" width="9.140625"/>
    <col min="14624" max="14624" customWidth="1" width="9.140625"/>
    <col min="14625" max="14625" customWidth="1" width="9.140625"/>
    <col min="14626" max="14626" customWidth="1" width="9.140625"/>
    <col min="14627" max="14627" customWidth="1" width="9.140625"/>
    <col min="14628" max="14628" customWidth="1" width="9.140625"/>
    <col min="14629" max="14629" customWidth="1" width="9.140625"/>
    <col min="14630" max="14630" customWidth="1" width="9.140625"/>
    <col min="14631" max="14631" customWidth="1" width="9.140625"/>
    <col min="14632" max="14632" customWidth="1" width="9.140625"/>
    <col min="14633" max="14633" customWidth="1" width="9.140625"/>
    <col min="14634" max="14634" customWidth="1" width="9.140625"/>
    <col min="14635" max="14635" customWidth="1" width="9.140625"/>
    <col min="14636" max="14636" customWidth="1" width="9.140625"/>
    <col min="14637" max="14637" customWidth="1" width="9.140625"/>
    <col min="14638" max="14638" customWidth="1" width="9.140625"/>
    <col min="14639" max="14639" customWidth="1" width="9.140625"/>
    <col min="14640" max="14640" customWidth="1" width="9.140625"/>
    <col min="14641" max="14641" customWidth="1" width="9.140625"/>
    <col min="14642" max="14642" customWidth="1" width="9.140625"/>
    <col min="14643" max="14643" customWidth="1" width="9.140625"/>
    <col min="14644" max="14644" customWidth="1" width="9.140625"/>
    <col min="14645" max="14645" customWidth="1" width="9.140625"/>
    <col min="14646" max="14646" customWidth="1" width="9.140625"/>
    <col min="14647" max="14647" customWidth="1" width="9.140625"/>
    <col min="14648" max="14648" customWidth="1" width="9.140625"/>
    <col min="14649" max="14649" customWidth="1" width="9.140625"/>
    <col min="14650" max="14650" customWidth="1" width="9.140625"/>
    <col min="14651" max="14651" customWidth="1" width="9.140625"/>
    <col min="14652" max="14652" customWidth="1" width="9.140625"/>
    <col min="14653" max="14653" customWidth="1" width="9.140625"/>
    <col min="14654" max="14654" customWidth="1" width="9.140625"/>
    <col min="14655" max="14655" customWidth="1" width="9.140625"/>
    <col min="14656" max="14656" customWidth="1" width="9.140625"/>
    <col min="14657" max="14657" customWidth="1" width="9.140625"/>
    <col min="14658" max="14658" customWidth="1" width="9.140625"/>
    <col min="14659" max="14659" customWidth="1" width="9.140625"/>
    <col min="14660" max="14660" customWidth="1" width="9.140625"/>
    <col min="14661" max="14661" customWidth="1" width="9.140625"/>
    <col min="14662" max="14662" customWidth="1" width="9.140625"/>
    <col min="14663" max="14663" customWidth="1" width="9.140625"/>
    <col min="14664" max="14664" customWidth="1" width="9.140625"/>
    <col min="14665" max="14665" customWidth="1" width="9.140625"/>
    <col min="14666" max="14666" customWidth="1" width="9.140625"/>
    <col min="14667" max="14667" customWidth="1" width="9.140625"/>
    <col min="14668" max="14668" customWidth="1" width="9.140625"/>
    <col min="14669" max="14669" customWidth="1" width="9.140625"/>
    <col min="14670" max="14670" customWidth="1" width="9.140625"/>
    <col min="14671" max="14671" customWidth="1" width="9.140625"/>
    <col min="14672" max="14672" customWidth="1" width="9.140625"/>
    <col min="14673" max="14673" customWidth="1" width="9.140625"/>
    <col min="14674" max="14674" customWidth="1" width="9.140625"/>
    <col min="14675" max="14675" customWidth="1" width="9.140625"/>
    <col min="14676" max="14676" customWidth="1" width="9.140625"/>
    <col min="14677" max="14677" customWidth="1" width="9.140625"/>
    <col min="14678" max="14678" customWidth="1" width="9.140625"/>
    <col min="14679" max="14679" customWidth="1" width="9.140625"/>
    <col min="14680" max="14680" customWidth="1" width="9.140625"/>
    <col min="14681" max="14681" customWidth="1" width="9.140625"/>
    <col min="14682" max="14682" customWidth="1" width="9.140625"/>
    <col min="14683" max="14683" customWidth="1" width="9.140625"/>
    <col min="14684" max="14684" customWidth="1" width="9.140625"/>
    <col min="14685" max="14685" customWidth="1" width="9.140625"/>
    <col min="14686" max="14686" customWidth="1" width="9.140625"/>
    <col min="14687" max="14687" customWidth="1" width="9.140625"/>
    <col min="14688" max="14688" customWidth="1" width="9.140625"/>
    <col min="14689" max="14689" customWidth="1" width="9.140625"/>
    <col min="14690" max="14690" customWidth="1" width="9.140625"/>
    <col min="14691" max="14691" customWidth="1" width="9.140625"/>
    <col min="14692" max="14692" customWidth="1" width="9.140625"/>
    <col min="14693" max="14693" customWidth="1" width="9.140625"/>
    <col min="14694" max="14694" customWidth="1" width="9.140625"/>
    <col min="14695" max="14695" customWidth="1" width="9.140625"/>
    <col min="14696" max="14696" customWidth="1" width="9.140625"/>
    <col min="14697" max="14697" customWidth="1" width="9.140625"/>
    <col min="14698" max="14698" customWidth="1" width="9.140625"/>
    <col min="14699" max="14699" customWidth="1" width="9.140625"/>
    <col min="14700" max="14700" customWidth="1" width="9.140625"/>
    <col min="14701" max="14701" customWidth="1" width="9.140625"/>
    <col min="14702" max="14702" customWidth="1" width="9.140625"/>
    <col min="14703" max="14703" customWidth="1" width="9.140625"/>
    <col min="14704" max="14704" customWidth="1" width="9.140625"/>
    <col min="14705" max="14705" customWidth="1" width="9.140625"/>
    <col min="14706" max="14706" customWidth="1" width="9.140625"/>
    <col min="14707" max="14707" customWidth="1" width="9.140625"/>
    <col min="14708" max="14708" customWidth="1" width="9.140625"/>
    <col min="14709" max="14709" customWidth="1" width="9.140625"/>
    <col min="14710" max="14710" customWidth="1" width="9.140625"/>
    <col min="14711" max="14711" customWidth="1" width="9.140625"/>
    <col min="14712" max="14712" customWidth="1" width="9.140625"/>
    <col min="14713" max="14713" customWidth="1" width="9.140625"/>
    <col min="14714" max="14714" customWidth="1" width="9.140625"/>
    <col min="14715" max="14715" customWidth="1" width="9.140625"/>
    <col min="14716" max="14716" customWidth="1" width="9.140625"/>
    <col min="14717" max="14717" customWidth="1" width="9.140625"/>
    <col min="14718" max="14718" customWidth="1" width="9.140625"/>
    <col min="14719" max="14719" customWidth="1" width="9.140625"/>
    <col min="14720" max="14720" customWidth="1" width="9.140625"/>
    <col min="14721" max="14721" customWidth="1" width="9.140625"/>
    <col min="14722" max="14722" customWidth="1" width="9.140625"/>
    <col min="14723" max="14723" customWidth="1" width="9.140625"/>
    <col min="14724" max="14724" customWidth="1" width="9.140625"/>
    <col min="14725" max="14725" customWidth="1" width="9.140625"/>
    <col min="14726" max="14726" customWidth="1" width="9.140625"/>
    <col min="14727" max="14727" customWidth="1" width="9.140625"/>
    <col min="14728" max="14728" customWidth="1" width="9.140625"/>
    <col min="14729" max="14729" customWidth="1" width="9.140625"/>
    <col min="14730" max="14730" customWidth="1" width="9.140625"/>
    <col min="14731" max="14731" customWidth="1" width="9.140625"/>
    <col min="14732" max="14732" customWidth="1" width="9.140625"/>
    <col min="14733" max="14733" customWidth="1" width="9.140625"/>
    <col min="14734" max="14734" customWidth="1" width="9.140625"/>
    <col min="14735" max="14735" customWidth="1" width="9.140625"/>
    <col min="14736" max="14736" customWidth="1" width="9.140625"/>
    <col min="14737" max="14737" customWidth="1" width="9.140625"/>
    <col min="14738" max="14738" customWidth="1" width="9.140625"/>
    <col min="14739" max="14739" customWidth="1" width="9.140625"/>
    <col min="14740" max="14740" customWidth="1" width="9.140625"/>
    <col min="14741" max="14741" customWidth="1" width="9.140625"/>
    <col min="14742" max="14742" customWidth="1" width="9.140625"/>
    <col min="14743" max="14743" customWidth="1" width="9.140625"/>
    <col min="14744" max="14744" customWidth="1" width="9.140625"/>
    <col min="14745" max="14745" customWidth="1" width="9.140625"/>
    <col min="14746" max="14746" customWidth="1" width="9.140625"/>
    <col min="14747" max="14747" customWidth="1" width="9.140625"/>
    <col min="14748" max="14748" customWidth="1" width="9.140625"/>
    <col min="14749" max="14749" customWidth="1" width="9.140625"/>
    <col min="14750" max="14750" customWidth="1" width="9.140625"/>
    <col min="14751" max="14751" customWidth="1" width="9.140625"/>
    <col min="14752" max="14752" customWidth="1" width="9.140625"/>
    <col min="14753" max="14753" customWidth="1" width="9.140625"/>
    <col min="14754" max="14754" customWidth="1" width="9.140625"/>
    <col min="14755" max="14755" customWidth="1" width="9.140625"/>
    <col min="14756" max="14756" customWidth="1" width="9.140625"/>
    <col min="14757" max="14757" customWidth="1" width="9.140625"/>
    <col min="14758" max="14758" customWidth="1" width="9.140625"/>
    <col min="14759" max="14759" customWidth="1" width="9.140625"/>
    <col min="14760" max="14760" customWidth="1" width="9.140625"/>
    <col min="14761" max="14761" customWidth="1" width="9.140625"/>
    <col min="14762" max="14762" customWidth="1" width="9.140625"/>
    <col min="14763" max="14763" customWidth="1" width="9.140625"/>
    <col min="14764" max="14764" customWidth="1" width="9.140625"/>
    <col min="14765" max="14765" customWidth="1" width="9.140625"/>
    <col min="14766" max="14766" customWidth="1" width="9.140625"/>
    <col min="14767" max="14767" customWidth="1" width="9.140625"/>
    <col min="14768" max="14768" customWidth="1" width="9.140625"/>
    <col min="14769" max="14769" customWidth="1" width="9.140625"/>
    <col min="14770" max="14770" customWidth="1" width="9.140625"/>
    <col min="14771" max="14771" customWidth="1" width="9.140625"/>
    <col min="14772" max="14772" customWidth="1" width="9.140625"/>
    <col min="14773" max="14773" customWidth="1" width="9.140625"/>
    <col min="14774" max="14774" customWidth="1" width="9.140625"/>
    <col min="14775" max="14775" customWidth="1" width="9.140625"/>
    <col min="14776" max="14776" customWidth="1" width="9.140625"/>
    <col min="14777" max="14777" customWidth="1" width="9.140625"/>
    <col min="14778" max="14778" customWidth="1" width="9.140625"/>
    <col min="14779" max="14779" customWidth="1" width="9.140625"/>
    <col min="14780" max="14780" customWidth="1" width="9.140625"/>
    <col min="14781" max="14781" customWidth="1" width="9.140625"/>
    <col min="14782" max="14782" customWidth="1" width="9.140625"/>
    <col min="14783" max="14783" customWidth="1" width="9.140625"/>
    <col min="14784" max="14784" customWidth="1" width="9.140625"/>
    <col min="14785" max="14785" customWidth="1" width="9.140625"/>
    <col min="14786" max="14786" customWidth="1" width="9.140625"/>
    <col min="14787" max="14787" customWidth="1" width="9.140625"/>
    <col min="14788" max="14788" customWidth="1" width="9.140625"/>
    <col min="14789" max="14789" customWidth="1" width="9.140625"/>
    <col min="14790" max="14790" customWidth="1" width="9.140625"/>
    <col min="14791" max="14791" customWidth="1" width="9.140625"/>
    <col min="14792" max="14792" customWidth="1" width="9.140625"/>
    <col min="14793" max="14793" customWidth="1" width="9.140625"/>
    <col min="14794" max="14794" customWidth="1" width="9.140625"/>
    <col min="14795" max="14795" customWidth="1" width="9.140625"/>
    <col min="14796" max="14796" customWidth="1" width="9.140625"/>
    <col min="14797" max="14797" customWidth="1" width="9.140625"/>
    <col min="14798" max="14798" customWidth="1" width="9.140625"/>
    <col min="14799" max="14799" customWidth="1" width="9.140625"/>
    <col min="14800" max="14800" customWidth="1" width="9.140625"/>
    <col min="14801" max="14801" customWidth="1" width="9.140625"/>
    <col min="14802" max="14802" customWidth="1" width="9.140625"/>
    <col min="14803" max="14803" customWidth="1" width="9.140625"/>
    <col min="14804" max="14804" customWidth="1" width="9.140625"/>
    <col min="14805" max="14805" customWidth="1" width="9.140625"/>
    <col min="14806" max="14806" customWidth="1" width="9.140625"/>
    <col min="14807" max="14807" customWidth="1" width="9.140625"/>
    <col min="14808" max="14808" customWidth="1" width="9.140625"/>
    <col min="14809" max="14809" customWidth="1" width="9.140625"/>
    <col min="14810" max="14810" customWidth="1" width="9.140625"/>
    <col min="14811" max="14811" customWidth="1" width="9.140625"/>
    <col min="14812" max="14812" customWidth="1" width="9.140625"/>
    <col min="14813" max="14813" customWidth="1" width="9.140625"/>
    <col min="14814" max="14814" customWidth="1" width="9.140625"/>
    <col min="14815" max="14815" customWidth="1" width="9.140625"/>
    <col min="14816" max="14816" customWidth="1" width="9.140625"/>
    <col min="14817" max="14817" customWidth="1" width="9.140625"/>
    <col min="14818" max="14818" customWidth="1" width="9.140625"/>
    <col min="14819" max="14819" customWidth="1" width="9.140625"/>
    <col min="14820" max="14820" customWidth="1" width="9.140625"/>
    <col min="14821" max="14821" customWidth="1" width="9.140625"/>
    <col min="14822" max="14822" customWidth="1" width="9.140625"/>
    <col min="14823" max="14823" customWidth="1" width="9.140625"/>
    <col min="14824" max="14824" customWidth="1" width="9.140625"/>
    <col min="14825" max="14825" customWidth="1" width="9.140625"/>
    <col min="14826" max="14826" customWidth="1" width="9.140625"/>
    <col min="14827" max="14827" customWidth="1" width="9.140625"/>
    <col min="14828" max="14828" customWidth="1" width="9.140625"/>
    <col min="14829" max="14829" customWidth="1" width="9.140625"/>
    <col min="14830" max="14830" customWidth="1" width="9.140625"/>
    <col min="14831" max="14831" customWidth="1" width="9.140625"/>
    <col min="14832" max="14832" customWidth="1" width="9.140625"/>
    <col min="14833" max="14833" customWidth="1" width="9.140625"/>
    <col min="14834" max="14834" customWidth="1" width="9.140625"/>
    <col min="14835" max="14835" customWidth="1" width="9.140625"/>
    <col min="14836" max="14836" customWidth="1" width="9.140625"/>
    <col min="14837" max="14837" customWidth="1" width="9.140625"/>
    <col min="14838" max="14838" customWidth="1" width="9.140625"/>
    <col min="14839" max="14839" customWidth="1" width="9.140625"/>
    <col min="14840" max="14840" customWidth="1" width="9.140625"/>
    <col min="14841" max="14841" customWidth="1" width="9.140625"/>
    <col min="14842" max="14842" customWidth="1" width="9.140625"/>
    <col min="14843" max="14843" customWidth="1" width="9.140625"/>
    <col min="14844" max="14844" customWidth="1" width="9.140625"/>
    <col min="14845" max="14845" customWidth="1" width="9.140625"/>
    <col min="14846" max="14846" customWidth="1" width="9.140625"/>
    <col min="14847" max="14847" customWidth="1" width="9.140625"/>
    <col min="14848" max="14848" customWidth="1" width="9.140625"/>
    <col min="14849" max="14849" customWidth="1" width="9.140625"/>
    <col min="14850" max="14850" customWidth="1" width="9.140625"/>
    <col min="14851" max="14851" customWidth="1" width="9.140625"/>
    <col min="14852" max="14852" customWidth="1" width="9.140625"/>
    <col min="14853" max="14853" customWidth="1" width="9.140625"/>
    <col min="14854" max="14854" customWidth="1" width="9.140625"/>
    <col min="14855" max="14855" customWidth="1" width="9.140625"/>
    <col min="14856" max="14856" customWidth="1" width="9.140625"/>
    <col min="14857" max="14857" customWidth="1" width="9.140625"/>
    <col min="14858" max="14858" customWidth="1" width="9.140625"/>
    <col min="14859" max="14859" customWidth="1" width="9.140625"/>
    <col min="14860" max="14860" customWidth="1" width="9.140625"/>
    <col min="14861" max="14861" customWidth="1" width="9.140625"/>
    <col min="14862" max="14862" customWidth="1" width="9.140625"/>
    <col min="14863" max="14863" customWidth="1" width="9.140625"/>
    <col min="14864" max="14864" customWidth="1" width="9.140625"/>
    <col min="14865" max="14865" customWidth="1" width="9.140625"/>
    <col min="14866" max="14866" customWidth="1" width="9.140625"/>
    <col min="14867" max="14867" customWidth="1" width="9.140625"/>
    <col min="14868" max="14868" customWidth="1" width="9.140625"/>
    <col min="14869" max="14869" customWidth="1" width="9.140625"/>
    <col min="14870" max="14870" customWidth="1" width="9.140625"/>
    <col min="14871" max="14871" customWidth="1" width="9.140625"/>
    <col min="14872" max="14872" customWidth="1" width="9.140625"/>
    <col min="14873" max="14873" customWidth="1" width="9.140625"/>
    <col min="14874" max="14874" customWidth="1" width="9.140625"/>
    <col min="14875" max="14875" customWidth="1" width="9.140625"/>
    <col min="14876" max="14876" customWidth="1" width="9.140625"/>
    <col min="14877" max="14877" customWidth="1" width="9.140625"/>
    <col min="14878" max="14878" customWidth="1" width="9.140625"/>
    <col min="14879" max="14879" customWidth="1" width="9.140625"/>
    <col min="14880" max="14880" customWidth="1" width="9.140625"/>
    <col min="14881" max="14881" customWidth="1" width="9.140625"/>
    <col min="14882" max="14882" customWidth="1" width="9.140625"/>
    <col min="14883" max="14883" customWidth="1" width="9.140625"/>
    <col min="14884" max="14884" customWidth="1" width="9.140625"/>
    <col min="14885" max="14885" customWidth="1" width="9.140625"/>
    <col min="14886" max="14886" customWidth="1" width="9.140625"/>
    <col min="14887" max="14887" customWidth="1" width="9.140625"/>
    <col min="14888" max="14888" customWidth="1" width="9.140625"/>
    <col min="14889" max="14889" customWidth="1" width="9.140625"/>
    <col min="14890" max="14890" customWidth="1" width="9.140625"/>
    <col min="14891" max="14891" customWidth="1" width="9.140625"/>
    <col min="14892" max="14892" customWidth="1" width="9.140625"/>
    <col min="14893" max="14893" customWidth="1" width="9.140625"/>
    <col min="14894" max="14894" customWidth="1" width="9.140625"/>
    <col min="14895" max="14895" customWidth="1" width="9.140625"/>
    <col min="14896" max="14896" customWidth="1" width="9.140625"/>
    <col min="14897" max="14897" customWidth="1" width="9.140625"/>
    <col min="14898" max="14898" customWidth="1" width="9.140625"/>
    <col min="14899" max="14899" customWidth="1" width="9.140625"/>
    <col min="14900" max="14900" customWidth="1" width="9.140625"/>
    <col min="14901" max="14901" customWidth="1" width="9.140625"/>
    <col min="14902" max="14902" customWidth="1" width="9.140625"/>
    <col min="14903" max="14903" customWidth="1" width="9.140625"/>
    <col min="14904" max="14904" customWidth="1" width="9.140625"/>
    <col min="14905" max="14905" customWidth="1" width="9.140625"/>
    <col min="14906" max="14906" customWidth="1" width="9.140625"/>
    <col min="14907" max="14907" customWidth="1" width="9.140625"/>
    <col min="14908" max="14908" customWidth="1" width="9.140625"/>
    <col min="14909" max="14909" customWidth="1" width="9.140625"/>
    <col min="14910" max="14910" customWidth="1" width="9.140625"/>
    <col min="14911" max="14911" customWidth="1" width="9.140625"/>
    <col min="14912" max="14912" customWidth="1" width="9.140625"/>
    <col min="14913" max="14913" customWidth="1" width="9.140625"/>
    <col min="14914" max="14914" customWidth="1" width="9.140625"/>
    <col min="14915" max="14915" customWidth="1" width="9.140625"/>
    <col min="14916" max="14916" customWidth="1" width="9.140625"/>
    <col min="14917" max="14917" customWidth="1" width="9.140625"/>
    <col min="14918" max="14918" customWidth="1" width="9.140625"/>
    <col min="14919" max="14919" customWidth="1" width="9.140625"/>
    <col min="14920" max="14920" customWidth="1" width="9.140625"/>
    <col min="14921" max="14921" customWidth="1" width="9.140625"/>
    <col min="14922" max="14922" customWidth="1" width="9.140625"/>
    <col min="14923" max="14923" customWidth="1" width="9.140625"/>
    <col min="14924" max="14924" customWidth="1" width="9.140625"/>
    <col min="14925" max="14925" customWidth="1" width="9.140625"/>
    <col min="14926" max="14926" customWidth="1" width="9.140625"/>
    <col min="14927" max="14927" customWidth="1" width="9.140625"/>
    <col min="14928" max="14928" customWidth="1" width="9.140625"/>
    <col min="14929" max="14929" customWidth="1" width="9.140625"/>
    <col min="14930" max="14930" customWidth="1" width="9.140625"/>
    <col min="14931" max="14931" customWidth="1" width="9.140625"/>
    <col min="14932" max="14932" customWidth="1" width="9.140625"/>
    <col min="14933" max="14933" customWidth="1" width="9.140625"/>
    <col min="14934" max="14934" customWidth="1" width="9.140625"/>
    <col min="14935" max="14935" customWidth="1" width="9.140625"/>
    <col min="14936" max="14936" customWidth="1" width="9.140625"/>
    <col min="14937" max="14937" customWidth="1" width="9.140625"/>
    <col min="14938" max="14938" customWidth="1" width="9.140625"/>
    <col min="14939" max="14939" customWidth="1" width="9.140625"/>
    <col min="14940" max="14940" customWidth="1" width="9.140625"/>
    <col min="14941" max="14941" customWidth="1" width="9.140625"/>
    <col min="14942" max="14942" customWidth="1" width="9.140625"/>
    <col min="14943" max="14943" customWidth="1" width="9.140625"/>
    <col min="14944" max="14944" customWidth="1" width="9.140625"/>
    <col min="14945" max="14945" customWidth="1" width="9.140625"/>
    <col min="14946" max="14946" customWidth="1" width="9.140625"/>
    <col min="14947" max="14947" customWidth="1" width="9.140625"/>
    <col min="14948" max="14948" customWidth="1" width="9.140625"/>
    <col min="14949" max="14949" customWidth="1" width="9.140625"/>
    <col min="14950" max="14950" customWidth="1" width="9.140625"/>
    <col min="14951" max="14951" customWidth="1" width="9.140625"/>
    <col min="14952" max="14952" customWidth="1" width="9.140625"/>
    <col min="14953" max="14953" customWidth="1" width="9.140625"/>
    <col min="14954" max="14954" customWidth="1" width="9.140625"/>
    <col min="14955" max="14955" customWidth="1" width="9.140625"/>
    <col min="14956" max="14956" customWidth="1" width="9.140625"/>
    <col min="14957" max="14957" customWidth="1" width="9.140625"/>
    <col min="14958" max="14958" customWidth="1" width="9.140625"/>
    <col min="14959" max="14959" customWidth="1" width="9.140625"/>
    <col min="14960" max="14960" customWidth="1" width="9.140625"/>
    <col min="14961" max="14961" customWidth="1" width="9.140625"/>
    <col min="14962" max="14962" customWidth="1" width="9.140625"/>
    <col min="14963" max="14963" customWidth="1" width="9.140625"/>
    <col min="14964" max="14964" customWidth="1" width="9.140625"/>
    <col min="14965" max="14965" customWidth="1" width="9.140625"/>
    <col min="14966" max="14966" customWidth="1" width="9.140625"/>
    <col min="14967" max="14967" customWidth="1" width="9.140625"/>
    <col min="14968" max="14968" customWidth="1" width="9.140625"/>
    <col min="14969" max="14969" customWidth="1" width="9.140625"/>
    <col min="14970" max="14970" customWidth="1" width="9.140625"/>
    <col min="14971" max="14971" customWidth="1" width="9.140625"/>
    <col min="14972" max="14972" customWidth="1" width="9.140625"/>
    <col min="14973" max="14973" customWidth="1" width="9.140625"/>
    <col min="14974" max="14974" customWidth="1" width="9.140625"/>
    <col min="14975" max="14975" customWidth="1" width="9.140625"/>
    <col min="14976" max="14976" customWidth="1" width="9.140625"/>
    <col min="14977" max="14977" customWidth="1" width="9.140625"/>
    <col min="14978" max="14978" customWidth="1" width="9.140625"/>
    <col min="14979" max="14979" customWidth="1" width="9.140625"/>
    <col min="14980" max="14980" customWidth="1" width="9.140625"/>
    <col min="14981" max="14981" customWidth="1" width="9.140625"/>
    <col min="14982" max="14982" customWidth="1" width="9.140625"/>
    <col min="14983" max="14983" customWidth="1" width="9.140625"/>
    <col min="14984" max="14984" customWidth="1" width="9.140625"/>
    <col min="14985" max="14985" customWidth="1" width="9.140625"/>
    <col min="14986" max="14986" customWidth="1" width="9.140625"/>
    <col min="14987" max="14987" customWidth="1" width="9.140625"/>
    <col min="14988" max="14988" customWidth="1" width="9.140625"/>
    <col min="14989" max="14989" customWidth="1" width="9.140625"/>
    <col min="14990" max="14990" customWidth="1" width="9.140625"/>
    <col min="14991" max="14991" customWidth="1" width="9.140625"/>
    <col min="14992" max="14992" customWidth="1" width="9.140625"/>
    <col min="14993" max="14993" customWidth="1" width="9.140625"/>
    <col min="14994" max="14994" customWidth="1" width="9.140625"/>
    <col min="14995" max="14995" customWidth="1" width="9.140625"/>
    <col min="14996" max="14996" customWidth="1" width="9.140625"/>
    <col min="14997" max="14997" customWidth="1" width="9.140625"/>
    <col min="14998" max="14998" customWidth="1" width="9.140625"/>
    <col min="14999" max="14999" customWidth="1" width="9.140625"/>
    <col min="15000" max="15000" customWidth="1" width="9.140625"/>
    <col min="15001" max="15001" customWidth="1" width="9.140625"/>
    <col min="15002" max="15002" customWidth="1" width="9.140625"/>
    <col min="15003" max="15003" customWidth="1" width="9.140625"/>
    <col min="15004" max="15004" customWidth="1" width="9.140625"/>
    <col min="15005" max="15005" customWidth="1" width="9.140625"/>
    <col min="15006" max="15006" customWidth="1" width="9.140625"/>
    <col min="15007" max="15007" customWidth="1" width="9.140625"/>
    <col min="15008" max="15008" customWidth="1" width="9.140625"/>
    <col min="15009" max="15009" customWidth="1" width="9.140625"/>
    <col min="15010" max="15010" customWidth="1" width="9.140625"/>
    <col min="15011" max="15011" customWidth="1" width="9.140625"/>
    <col min="15012" max="15012" customWidth="1" width="9.140625"/>
    <col min="15013" max="15013" customWidth="1" width="9.140625"/>
    <col min="15014" max="15014" customWidth="1" width="9.140625"/>
    <col min="15015" max="15015" customWidth="1" width="9.140625"/>
    <col min="15016" max="15016" customWidth="1" width="9.140625"/>
    <col min="15017" max="15017" customWidth="1" width="9.140625"/>
    <col min="15018" max="15018" customWidth="1" width="9.140625"/>
    <col min="15019" max="15019" customWidth="1" width="9.140625"/>
    <col min="15020" max="15020" customWidth="1" width="9.140625"/>
    <col min="15021" max="15021" customWidth="1" width="9.140625"/>
    <col min="15022" max="15022" customWidth="1" width="9.140625"/>
    <col min="15023" max="15023" customWidth="1" width="9.140625"/>
    <col min="15024" max="15024" customWidth="1" width="9.140625"/>
    <col min="15025" max="15025" customWidth="1" width="9.140625"/>
    <col min="15026" max="15026" customWidth="1" width="9.140625"/>
    <col min="15027" max="15027" customWidth="1" width="9.140625"/>
    <col min="15028" max="15028" customWidth="1" width="9.140625"/>
    <col min="15029" max="15029" customWidth="1" width="9.140625"/>
    <col min="15030" max="15030" customWidth="1" width="9.140625"/>
    <col min="15031" max="15031" customWidth="1" width="9.140625"/>
    <col min="15032" max="15032" customWidth="1" width="9.140625"/>
    <col min="15033" max="15033" customWidth="1" width="9.140625"/>
    <col min="15034" max="15034" customWidth="1" width="9.140625"/>
    <col min="15035" max="15035" customWidth="1" width="9.140625"/>
    <col min="15036" max="15036" customWidth="1" width="9.140625"/>
    <col min="15037" max="15037" customWidth="1" width="9.140625"/>
    <col min="15038" max="15038" customWidth="1" width="9.140625"/>
    <col min="15039" max="15039" customWidth="1" width="9.140625"/>
    <col min="15040" max="15040" customWidth="1" width="9.140625"/>
    <col min="15041" max="15041" customWidth="1" width="9.140625"/>
    <col min="15042" max="15042" customWidth="1" width="9.140625"/>
    <col min="15043" max="15043" customWidth="1" width="9.140625"/>
    <col min="15044" max="15044" customWidth="1" width="9.140625"/>
    <col min="15045" max="15045" customWidth="1" width="9.140625"/>
    <col min="15046" max="15046" customWidth="1" width="9.140625"/>
    <col min="15047" max="15047" customWidth="1" width="9.140625"/>
    <col min="15048" max="15048" customWidth="1" width="9.140625"/>
    <col min="15049" max="15049" customWidth="1" width="9.140625"/>
    <col min="15050" max="15050" customWidth="1" width="9.140625"/>
    <col min="15051" max="15051" customWidth="1" width="9.140625"/>
    <col min="15052" max="15052" customWidth="1" width="9.140625"/>
    <col min="15053" max="15053" customWidth="1" width="9.140625"/>
    <col min="15054" max="15054" customWidth="1" width="9.140625"/>
    <col min="15055" max="15055" customWidth="1" width="9.140625"/>
    <col min="15056" max="15056" customWidth="1" width="9.140625"/>
    <col min="15057" max="15057" customWidth="1" width="9.140625"/>
    <col min="15058" max="15058" customWidth="1" width="9.140625"/>
    <col min="15059" max="15059" customWidth="1" width="9.140625"/>
    <col min="15060" max="15060" customWidth="1" width="9.140625"/>
    <col min="15061" max="15061" customWidth="1" width="9.140625"/>
    <col min="15062" max="15062" customWidth="1" width="9.140625"/>
    <col min="15063" max="15063" customWidth="1" width="9.140625"/>
    <col min="15064" max="15064" customWidth="1" width="9.140625"/>
    <col min="15065" max="15065" customWidth="1" width="9.140625"/>
    <col min="15066" max="15066" customWidth="1" width="9.140625"/>
    <col min="15067" max="15067" customWidth="1" width="9.140625"/>
    <col min="15068" max="15068" customWidth="1" width="9.140625"/>
    <col min="15069" max="15069" customWidth="1" width="9.140625"/>
    <col min="15070" max="15070" customWidth="1" width="9.140625"/>
    <col min="15071" max="15071" customWidth="1" width="9.140625"/>
    <col min="15072" max="15072" customWidth="1" width="9.140625"/>
    <col min="15073" max="15073" customWidth="1" width="9.140625"/>
    <col min="15074" max="15074" customWidth="1" width="9.140625"/>
    <col min="15075" max="15075" customWidth="1" width="9.140625"/>
    <col min="15076" max="15076" customWidth="1" width="9.140625"/>
    <col min="15077" max="15077" customWidth="1" width="9.140625"/>
    <col min="15078" max="15078" customWidth="1" width="9.140625"/>
    <col min="15079" max="15079" customWidth="1" width="9.140625"/>
    <col min="15080" max="15080" customWidth="1" width="9.140625"/>
    <col min="15081" max="15081" customWidth="1" width="9.140625"/>
    <col min="15082" max="15082" customWidth="1" width="9.140625"/>
    <col min="15083" max="15083" customWidth="1" width="9.140625"/>
    <col min="15084" max="15084" customWidth="1" width="9.140625"/>
    <col min="15085" max="15085" customWidth="1" width="9.140625"/>
    <col min="15086" max="15086" customWidth="1" width="9.140625"/>
    <col min="15087" max="15087" customWidth="1" width="9.140625"/>
    <col min="15088" max="15088" customWidth="1" width="9.140625"/>
    <col min="15089" max="15089" customWidth="1" width="9.140625"/>
    <col min="15090" max="15090" customWidth="1" width="9.140625"/>
    <col min="15091" max="15091" customWidth="1" width="9.140625"/>
    <col min="15092" max="15092" customWidth="1" width="9.140625"/>
    <col min="15093" max="15093" customWidth="1" width="9.140625"/>
    <col min="15094" max="15094" customWidth="1" width="9.140625"/>
    <col min="15095" max="15095" customWidth="1" width="9.140625"/>
    <col min="15096" max="15096" customWidth="1" width="9.140625"/>
    <col min="15097" max="15097" customWidth="1" width="9.140625"/>
    <col min="15098" max="15098" customWidth="1" width="9.140625"/>
    <col min="15099" max="15099" customWidth="1" width="9.140625"/>
    <col min="15100" max="15100" customWidth="1" width="9.140625"/>
    <col min="15101" max="15101" customWidth="1" width="9.140625"/>
    <col min="15102" max="15102" customWidth="1" width="9.140625"/>
    <col min="15103" max="15103" customWidth="1" width="9.140625"/>
    <col min="15104" max="15104" customWidth="1" width="9.140625"/>
    <col min="15105" max="15105" customWidth="1" width="9.140625"/>
    <col min="15106" max="15106" customWidth="1" width="9.140625"/>
    <col min="15107" max="15107" customWidth="1" width="9.140625"/>
    <col min="15108" max="15108" customWidth="1" width="9.140625"/>
    <col min="15109" max="15109" customWidth="1" width="9.140625"/>
    <col min="15110" max="15110" customWidth="1" width="9.140625"/>
    <col min="15111" max="15111" customWidth="1" width="9.140625"/>
    <col min="15112" max="15112" customWidth="1" width="9.140625"/>
    <col min="15113" max="15113" customWidth="1" width="9.140625"/>
    <col min="15114" max="15114" customWidth="1" width="9.140625"/>
    <col min="15115" max="15115" customWidth="1" width="9.140625"/>
    <col min="15116" max="15116" customWidth="1" width="9.140625"/>
    <col min="15117" max="15117" customWidth="1" width="9.140625"/>
    <col min="15118" max="15118" customWidth="1" width="9.140625"/>
    <col min="15119" max="15119" customWidth="1" width="9.140625"/>
    <col min="15120" max="15120" customWidth="1" width="9.140625"/>
    <col min="15121" max="15121" customWidth="1" width="9.140625"/>
    <col min="15122" max="15122" customWidth="1" width="9.140625"/>
    <col min="15123" max="15123" customWidth="1" width="9.140625"/>
    <col min="15124" max="15124" customWidth="1" width="9.140625"/>
    <col min="15125" max="15125" customWidth="1" width="9.140625"/>
    <col min="15126" max="15126" customWidth="1" width="9.140625"/>
    <col min="15127" max="15127" customWidth="1" width="9.140625"/>
    <col min="15128" max="15128" customWidth="1" width="9.140625"/>
    <col min="15129" max="15129" customWidth="1" width="9.140625"/>
    <col min="15130" max="15130" customWidth="1" width="9.140625"/>
    <col min="15131" max="15131" customWidth="1" width="9.140625"/>
    <col min="15132" max="15132" customWidth="1" width="9.140625"/>
    <col min="15133" max="15133" customWidth="1" width="9.140625"/>
    <col min="15134" max="15134" customWidth="1" width="9.140625"/>
    <col min="15135" max="15135" customWidth="1" width="9.140625"/>
    <col min="15136" max="15136" customWidth="1" width="9.140625"/>
    <col min="15137" max="15137" customWidth="1" width="9.140625"/>
    <col min="15138" max="15138" customWidth="1" width="9.140625"/>
    <col min="15139" max="15139" customWidth="1" width="9.140625"/>
    <col min="15140" max="15140" customWidth="1" width="9.140625"/>
    <col min="15141" max="15141" customWidth="1" width="9.140625"/>
    <col min="15142" max="15142" customWidth="1" width="9.140625"/>
    <col min="15143" max="15143" customWidth="1" width="9.140625"/>
    <col min="15144" max="15144" customWidth="1" width="9.140625"/>
    <col min="15145" max="15145" customWidth="1" width="9.140625"/>
    <col min="15146" max="15146" customWidth="1" width="9.140625"/>
    <col min="15147" max="15147" customWidth="1" width="9.140625"/>
    <col min="15148" max="15148" customWidth="1" width="9.140625"/>
    <col min="15149" max="15149" customWidth="1" width="9.140625"/>
    <col min="15150" max="15150" customWidth="1" width="9.140625"/>
    <col min="15151" max="15151" customWidth="1" width="9.140625"/>
    <col min="15152" max="15152" customWidth="1" width="9.140625"/>
    <col min="15153" max="15153" customWidth="1" width="9.140625"/>
    <col min="15154" max="15154" customWidth="1" width="9.140625"/>
    <col min="15155" max="15155" customWidth="1" width="9.140625"/>
    <col min="15156" max="15156" customWidth="1" width="9.140625"/>
    <col min="15157" max="15157" customWidth="1" width="9.140625"/>
    <col min="15158" max="15158" customWidth="1" width="9.140625"/>
    <col min="15159" max="15159" customWidth="1" width="9.140625"/>
    <col min="15160" max="15160" customWidth="1" width="9.140625"/>
    <col min="15161" max="15161" customWidth="1" width="9.140625"/>
    <col min="15162" max="15162" customWidth="1" width="9.140625"/>
    <col min="15163" max="15163" customWidth="1" width="9.140625"/>
    <col min="15164" max="15164" customWidth="1" width="9.140625"/>
    <col min="15165" max="15165" customWidth="1" width="9.140625"/>
    <col min="15166" max="15166" customWidth="1" width="9.140625"/>
    <col min="15167" max="15167" customWidth="1" width="9.140625"/>
    <col min="15168" max="15168" customWidth="1" width="9.140625"/>
    <col min="15169" max="15169" customWidth="1" width="9.140625"/>
    <col min="15170" max="15170" customWidth="1" width="9.140625"/>
    <col min="15171" max="15171" customWidth="1" width="9.140625"/>
    <col min="15172" max="15172" customWidth="1" width="9.140625"/>
    <col min="15173" max="15173" customWidth="1" width="9.140625"/>
    <col min="15174" max="15174" customWidth="1" width="9.140625"/>
    <col min="15175" max="15175" customWidth="1" width="9.140625"/>
    <col min="15176" max="15176" customWidth="1" width="9.140625"/>
    <col min="15177" max="15177" customWidth="1" width="9.140625"/>
    <col min="15178" max="15178" customWidth="1" width="9.140625"/>
    <col min="15179" max="15179" customWidth="1" width="9.140625"/>
    <col min="15180" max="15180" customWidth="1" width="9.140625"/>
    <col min="15181" max="15181" customWidth="1" width="9.140625"/>
    <col min="15182" max="15182" customWidth="1" width="9.140625"/>
    <col min="15183" max="15183" customWidth="1" width="9.140625"/>
    <col min="15184" max="15184" customWidth="1" width="9.140625"/>
    <col min="15185" max="15185" customWidth="1" width="9.140625"/>
    <col min="15186" max="15186" customWidth="1" width="9.140625"/>
    <col min="15187" max="15187" customWidth="1" width="9.140625"/>
    <col min="15188" max="15188" customWidth="1" width="9.140625"/>
    <col min="15189" max="15189" customWidth="1" width="9.140625"/>
    <col min="15190" max="15190" customWidth="1" width="9.140625"/>
    <col min="15191" max="15191" customWidth="1" width="9.140625"/>
    <col min="15192" max="15192" customWidth="1" width="9.140625"/>
    <col min="15193" max="15193" customWidth="1" width="9.140625"/>
    <col min="15194" max="15194" customWidth="1" width="9.140625"/>
    <col min="15195" max="15195" customWidth="1" width="9.140625"/>
    <col min="15196" max="15196" customWidth="1" width="9.140625"/>
    <col min="15197" max="15197" customWidth="1" width="9.140625"/>
    <col min="15198" max="15198" customWidth="1" width="9.140625"/>
    <col min="15199" max="15199" customWidth="1" width="9.140625"/>
    <col min="15200" max="15200" customWidth="1" width="9.140625"/>
    <col min="15201" max="15201" customWidth="1" width="9.140625"/>
    <col min="15202" max="15202" customWidth="1" width="9.140625"/>
    <col min="15203" max="15203" customWidth="1" width="9.140625"/>
    <col min="15204" max="15204" customWidth="1" width="9.140625"/>
    <col min="15205" max="15205" customWidth="1" width="9.140625"/>
    <col min="15206" max="15206" customWidth="1" width="9.140625"/>
    <col min="15207" max="15207" customWidth="1" width="9.140625"/>
    <col min="15208" max="15208" customWidth="1" width="9.140625"/>
    <col min="15209" max="15209" customWidth="1" width="9.140625"/>
    <col min="15210" max="15210" customWidth="1" width="9.140625"/>
    <col min="15211" max="15211" customWidth="1" width="9.140625"/>
    <col min="15212" max="15212" customWidth="1" width="9.140625"/>
    <col min="15213" max="15213" customWidth="1" width="9.140625"/>
    <col min="15214" max="15214" customWidth="1" width="9.140625"/>
    <col min="15215" max="15215" customWidth="1" width="9.140625"/>
    <col min="15216" max="15216" customWidth="1" width="9.140625"/>
    <col min="15217" max="15217" customWidth="1" width="9.140625"/>
    <col min="15218" max="15218" customWidth="1" width="9.140625"/>
    <col min="15219" max="15219" customWidth="1" width="9.140625"/>
    <col min="15220" max="15220" customWidth="1" width="9.140625"/>
    <col min="15221" max="15221" customWidth="1" width="9.140625"/>
    <col min="15222" max="15222" customWidth="1" width="9.140625"/>
    <col min="15223" max="15223" customWidth="1" width="9.140625"/>
    <col min="15224" max="15224" customWidth="1" width="9.140625"/>
    <col min="15225" max="15225" customWidth="1" width="9.140625"/>
    <col min="15226" max="15226" customWidth="1" width="9.140625"/>
    <col min="15227" max="15227" customWidth="1" width="9.140625"/>
    <col min="15228" max="15228" customWidth="1" width="9.140625"/>
    <col min="15229" max="15229" customWidth="1" width="9.140625"/>
    <col min="15230" max="15230" customWidth="1" width="9.140625"/>
    <col min="15231" max="15231" customWidth="1" width="9.140625"/>
    <col min="15232" max="15232" customWidth="1" width="9.140625"/>
    <col min="15233" max="15233" customWidth="1" width="9.140625"/>
    <col min="15234" max="15234" customWidth="1" width="9.140625"/>
    <col min="15235" max="15235" customWidth="1" width="9.140625"/>
    <col min="15236" max="15236" customWidth="1" width="9.140625"/>
    <col min="15237" max="15237" customWidth="1" width="9.140625"/>
    <col min="15238" max="15238" customWidth="1" width="9.140625"/>
    <col min="15239" max="15239" customWidth="1" width="9.140625"/>
    <col min="15240" max="15240" customWidth="1" width="9.140625"/>
    <col min="15241" max="15241" customWidth="1" width="9.140625"/>
    <col min="15242" max="15242" customWidth="1" width="9.140625"/>
    <col min="15243" max="15243" customWidth="1" width="9.140625"/>
    <col min="15244" max="15244" customWidth="1" width="9.140625"/>
    <col min="15245" max="15245" customWidth="1" width="9.140625"/>
    <col min="15246" max="15246" customWidth="1" width="9.140625"/>
    <col min="15247" max="15247" customWidth="1" width="9.140625"/>
    <col min="15248" max="15248" customWidth="1" width="9.140625"/>
    <col min="15249" max="15249" customWidth="1" width="9.140625"/>
    <col min="15250" max="15250" customWidth="1" width="9.140625"/>
    <col min="15251" max="15251" customWidth="1" width="9.140625"/>
    <col min="15252" max="15252" customWidth="1" width="9.140625"/>
    <col min="15253" max="15253" customWidth="1" width="9.140625"/>
    <col min="15254" max="15254" customWidth="1" width="9.140625"/>
    <col min="15255" max="15255" customWidth="1" width="9.140625"/>
    <col min="15256" max="15256" customWidth="1" width="9.140625"/>
    <col min="15257" max="15257" customWidth="1" width="9.140625"/>
    <col min="15258" max="15258" customWidth="1" width="9.140625"/>
    <col min="15259" max="15259" customWidth="1" width="9.140625"/>
    <col min="15260" max="15260" customWidth="1" width="9.140625"/>
    <col min="15261" max="15261" customWidth="1" width="9.140625"/>
    <col min="15262" max="15262" customWidth="1" width="9.140625"/>
    <col min="15263" max="15263" customWidth="1" width="9.140625"/>
    <col min="15264" max="15264" customWidth="1" width="9.140625"/>
    <col min="15265" max="15265" customWidth="1" width="9.140625"/>
    <col min="15266" max="15266" customWidth="1" width="9.140625"/>
    <col min="15267" max="15267" customWidth="1" width="9.140625"/>
    <col min="15268" max="15268" customWidth="1" width="9.140625"/>
    <col min="15269" max="15269" customWidth="1" width="9.140625"/>
    <col min="15270" max="15270" customWidth="1" width="9.140625"/>
    <col min="15271" max="15271" customWidth="1" width="9.140625"/>
    <col min="15272" max="15272" customWidth="1" width="9.140625"/>
    <col min="15273" max="15273" customWidth="1" width="9.140625"/>
    <col min="15274" max="15274" customWidth="1" width="9.140625"/>
    <col min="15275" max="15275" customWidth="1" width="9.140625"/>
    <col min="15276" max="15276" customWidth="1" width="9.140625"/>
    <col min="15277" max="15277" customWidth="1" width="9.140625"/>
    <col min="15278" max="15278" customWidth="1" width="9.140625"/>
    <col min="15279" max="15279" customWidth="1" width="9.140625"/>
    <col min="15280" max="15280" customWidth="1" width="9.140625"/>
    <col min="15281" max="15281" customWidth="1" width="9.140625"/>
    <col min="15282" max="15282" customWidth="1" width="9.140625"/>
    <col min="15283" max="15283" customWidth="1" width="9.140625"/>
    <col min="15284" max="15284" customWidth="1" width="9.140625"/>
    <col min="15285" max="15285" customWidth="1" width="9.140625"/>
    <col min="15286" max="15286" customWidth="1" width="9.140625"/>
    <col min="15287" max="15287" customWidth="1" width="9.140625"/>
    <col min="15288" max="15288" customWidth="1" width="9.140625"/>
    <col min="15289" max="15289" customWidth="1" width="9.140625"/>
    <col min="15290" max="15290" customWidth="1" width="9.140625"/>
    <col min="15291" max="15291" customWidth="1" width="9.140625"/>
    <col min="15292" max="15292" customWidth="1" width="9.140625"/>
    <col min="15293" max="15293" customWidth="1" width="9.140625"/>
    <col min="15294" max="15294" customWidth="1" width="9.140625"/>
    <col min="15295" max="15295" customWidth="1" width="9.140625"/>
    <col min="15296" max="15296" customWidth="1" width="9.140625"/>
    <col min="15297" max="15297" customWidth="1" width="9.140625"/>
    <col min="15298" max="15298" customWidth="1" width="9.140625"/>
    <col min="15299" max="15299" customWidth="1" width="9.140625"/>
    <col min="15300" max="15300" customWidth="1" width="9.140625"/>
    <col min="15301" max="15301" customWidth="1" width="9.140625"/>
    <col min="15302" max="15302" customWidth="1" width="9.140625"/>
    <col min="15303" max="15303" customWidth="1" width="9.140625"/>
    <col min="15304" max="15304" customWidth="1" width="9.140625"/>
    <col min="15305" max="15305" customWidth="1" width="9.140625"/>
    <col min="15306" max="15306" customWidth="1" width="9.140625"/>
    <col min="15307" max="15307" customWidth="1" width="9.140625"/>
    <col min="15308" max="15308" customWidth="1" width="9.140625"/>
    <col min="15309" max="15309" customWidth="1" width="9.140625"/>
    <col min="15310" max="15310" customWidth="1" width="9.140625"/>
    <col min="15311" max="15311" customWidth="1" width="9.140625"/>
    <col min="15312" max="15312" customWidth="1" width="9.140625"/>
    <col min="15313" max="15313" customWidth="1" width="9.140625"/>
    <col min="15314" max="15314" customWidth="1" width="9.140625"/>
    <col min="15315" max="15315" customWidth="1" width="9.140625"/>
    <col min="15316" max="15316" customWidth="1" width="9.140625"/>
    <col min="15317" max="15317" customWidth="1" width="9.140625"/>
    <col min="15318" max="15318" customWidth="1" width="9.140625"/>
    <col min="15319" max="15319" customWidth="1" width="9.140625"/>
    <col min="15320" max="15320" customWidth="1" width="9.140625"/>
    <col min="15321" max="15321" customWidth="1" width="9.140625"/>
    <col min="15322" max="15322" customWidth="1" width="9.140625"/>
    <col min="15323" max="15323" customWidth="1" width="9.140625"/>
    <col min="15324" max="15324" customWidth="1" width="9.140625"/>
    <col min="15325" max="15325" customWidth="1" width="9.140625"/>
    <col min="15326" max="15326" customWidth="1" width="9.140625"/>
    <col min="15327" max="15327" customWidth="1" width="9.140625"/>
    <col min="15328" max="15328" customWidth="1" width="9.140625"/>
    <col min="15329" max="15329" customWidth="1" width="9.140625"/>
    <col min="15330" max="15330" customWidth="1" width="9.140625"/>
    <col min="15331" max="15331" customWidth="1" width="9.140625"/>
    <col min="15332" max="15332" customWidth="1" width="9.140625"/>
    <col min="15333" max="15333" customWidth="1" width="9.140625"/>
    <col min="15334" max="15334" customWidth="1" width="9.140625"/>
    <col min="15335" max="15335" customWidth="1" width="9.140625"/>
    <col min="15336" max="15336" customWidth="1" width="9.140625"/>
    <col min="15337" max="15337" customWidth="1" width="9.140625"/>
    <col min="15338" max="15338" customWidth="1" width="9.140625"/>
    <col min="15339" max="15339" customWidth="1" width="9.140625"/>
    <col min="15340" max="15340" customWidth="1" width="9.140625"/>
    <col min="15341" max="15341" customWidth="1" width="9.140625"/>
    <col min="15342" max="15342" customWidth="1" width="9.140625"/>
    <col min="15343" max="15343" customWidth="1" width="9.140625"/>
    <col min="15344" max="15344" customWidth="1" width="9.140625"/>
    <col min="15345" max="15345" customWidth="1" width="9.140625"/>
    <col min="15346" max="15346" customWidth="1" width="9.140625"/>
    <col min="15347" max="15347" customWidth="1" width="9.140625"/>
    <col min="15348" max="15348" customWidth="1" width="9.140625"/>
    <col min="15349" max="15349" customWidth="1" width="9.140625"/>
    <col min="15350" max="15350" customWidth="1" width="9.140625"/>
    <col min="15351" max="15351" customWidth="1" width="9.140625"/>
    <col min="15352" max="15352" customWidth="1" width="9.140625"/>
    <col min="15353" max="15353" customWidth="1" width="9.140625"/>
    <col min="15354" max="15354" customWidth="1" width="9.140625"/>
    <col min="15355" max="15355" customWidth="1" width="9.140625"/>
    <col min="15356" max="15356" customWidth="1" width="9.140625"/>
    <col min="15357" max="15357" customWidth="1" width="9.140625"/>
    <col min="15358" max="15358" customWidth="1" width="9.140625"/>
    <col min="15359" max="15359" customWidth="1" width="9.140625"/>
    <col min="15360" max="15360" customWidth="1" width="9.140625"/>
    <col min="15361" max="15361" customWidth="1" width="9.140625"/>
    <col min="15362" max="15362" customWidth="1" width="9.140625"/>
    <col min="15363" max="15363" customWidth="1" width="9.140625"/>
    <col min="15364" max="15364" customWidth="1" width="9.140625"/>
    <col min="15365" max="15365" customWidth="1" width="9.140625"/>
    <col min="15366" max="15366" customWidth="1" width="9.140625"/>
    <col min="15367" max="15367" customWidth="1" width="9.140625"/>
    <col min="15368" max="15368" customWidth="1" width="9.140625"/>
    <col min="15369" max="15369" customWidth="1" width="9.140625"/>
    <col min="15370" max="15370" customWidth="1" width="9.140625"/>
    <col min="15371" max="15371" customWidth="1" width="9.140625"/>
    <col min="15372" max="15372" customWidth="1" width="9.140625"/>
    <col min="15373" max="15373" customWidth="1" width="9.140625"/>
    <col min="15374" max="15374" customWidth="1" width="9.140625"/>
    <col min="15375" max="15375" customWidth="1" width="9.140625"/>
    <col min="15376" max="15376" customWidth="1" width="9.140625"/>
    <col min="15377" max="15377" customWidth="1" width="9.140625"/>
    <col min="15378" max="15378" customWidth="1" width="9.140625"/>
    <col min="15379" max="15379" customWidth="1" width="9.140625"/>
    <col min="15380" max="15380" customWidth="1" width="9.140625"/>
    <col min="15381" max="15381" customWidth="1" width="9.140625"/>
    <col min="15382" max="15382" customWidth="1" width="9.140625"/>
    <col min="15383" max="15383" customWidth="1" width="9.140625"/>
    <col min="15384" max="15384" customWidth="1" width="9.140625"/>
    <col min="15385" max="15385" customWidth="1" width="9.140625"/>
    <col min="15386" max="15386" customWidth="1" width="9.140625"/>
    <col min="15387" max="15387" customWidth="1" width="9.140625"/>
    <col min="15388" max="15388" customWidth="1" width="9.140625"/>
    <col min="15389" max="15389" customWidth="1" width="9.140625"/>
    <col min="15390" max="15390" customWidth="1" width="9.140625"/>
    <col min="15391" max="15391" customWidth="1" width="9.140625"/>
    <col min="15392" max="15392" customWidth="1" width="9.140625"/>
    <col min="15393" max="15393" customWidth="1" width="9.140625"/>
    <col min="15394" max="15394" customWidth="1" width="9.140625"/>
    <col min="15395" max="15395" customWidth="1" width="9.140625"/>
    <col min="15396" max="15396" customWidth="1" width="9.140625"/>
    <col min="15397" max="15397" customWidth="1" width="9.140625"/>
    <col min="15398" max="15398" customWidth="1" width="9.140625"/>
    <col min="15399" max="15399" customWidth="1" width="9.140625"/>
    <col min="15400" max="15400" customWidth="1" width="9.140625"/>
    <col min="15401" max="15401" customWidth="1" width="9.140625"/>
    <col min="15402" max="15402" customWidth="1" width="9.140625"/>
    <col min="15403" max="15403" customWidth="1" width="9.140625"/>
    <col min="15404" max="15404" customWidth="1" width="9.140625"/>
    <col min="15405" max="15405" customWidth="1" width="9.140625"/>
    <col min="15406" max="15406" customWidth="1" width="9.140625"/>
    <col min="15407" max="15407" customWidth="1" width="9.140625"/>
    <col min="15408" max="15408" customWidth="1" width="9.140625"/>
    <col min="15409" max="15409" customWidth="1" width="9.140625"/>
    <col min="15410" max="15410" customWidth="1" width="9.140625"/>
    <col min="15411" max="15411" customWidth="1" width="9.140625"/>
    <col min="15412" max="15412" customWidth="1" width="9.140625"/>
    <col min="15413" max="15413" customWidth="1" width="9.140625"/>
    <col min="15414" max="15414" customWidth="1" width="9.140625"/>
    <col min="15415" max="15415" customWidth="1" width="9.140625"/>
    <col min="15416" max="15416" customWidth="1" width="9.140625"/>
    <col min="15417" max="15417" customWidth="1" width="9.140625"/>
    <col min="15418" max="15418" customWidth="1" width="9.140625"/>
    <col min="15419" max="15419" customWidth="1" width="9.140625"/>
    <col min="15420" max="15420" customWidth="1" width="9.140625"/>
    <col min="15421" max="15421" customWidth="1" width="9.140625"/>
    <col min="15422" max="15422" customWidth="1" width="9.140625"/>
    <col min="15423" max="15423" customWidth="1" width="9.140625"/>
    <col min="15424" max="15424" customWidth="1" width="9.140625"/>
    <col min="15425" max="15425" customWidth="1" width="9.140625"/>
    <col min="15426" max="15426" customWidth="1" width="9.140625"/>
    <col min="15427" max="15427" customWidth="1" width="9.140625"/>
    <col min="15428" max="15428" customWidth="1" width="9.140625"/>
    <col min="15429" max="15429" customWidth="1" width="9.140625"/>
    <col min="15430" max="15430" customWidth="1" width="9.140625"/>
    <col min="15431" max="15431" customWidth="1" width="9.140625"/>
    <col min="15432" max="15432" customWidth="1" width="9.140625"/>
    <col min="15433" max="15433" customWidth="1" width="9.140625"/>
    <col min="15434" max="15434" customWidth="1" width="9.140625"/>
    <col min="15435" max="15435" customWidth="1" width="9.140625"/>
    <col min="15436" max="15436" customWidth="1" width="9.140625"/>
    <col min="15437" max="15437" customWidth="1" width="9.140625"/>
    <col min="15438" max="15438" customWidth="1" width="9.140625"/>
    <col min="15439" max="15439" customWidth="1" width="9.140625"/>
    <col min="15440" max="15440" customWidth="1" width="9.140625"/>
    <col min="15441" max="15441" customWidth="1" width="9.140625"/>
    <col min="15442" max="15442" customWidth="1" width="9.140625"/>
    <col min="15443" max="15443" customWidth="1" width="9.140625"/>
    <col min="15444" max="15444" customWidth="1" width="9.140625"/>
    <col min="15445" max="15445" customWidth="1" width="9.140625"/>
    <col min="15446" max="15446" customWidth="1" width="9.140625"/>
    <col min="15447" max="15447" customWidth="1" width="9.140625"/>
    <col min="15448" max="15448" customWidth="1" width="9.140625"/>
    <col min="15449" max="15449" customWidth="1" width="9.140625"/>
    <col min="15450" max="15450" customWidth="1" width="9.140625"/>
    <col min="15451" max="15451" customWidth="1" width="9.140625"/>
    <col min="15452" max="15452" customWidth="1" width="9.140625"/>
    <col min="15453" max="15453" customWidth="1" width="9.140625"/>
    <col min="15454" max="15454" customWidth="1" width="9.140625"/>
    <col min="15455" max="15455" customWidth="1" width="9.140625"/>
    <col min="15456" max="15456" customWidth="1" width="9.140625"/>
    <col min="15457" max="15457" customWidth="1" width="9.140625"/>
    <col min="15458" max="15458" customWidth="1" width="9.140625"/>
    <col min="15459" max="15459" customWidth="1" width="9.140625"/>
    <col min="15460" max="15460" customWidth="1" width="9.140625"/>
    <col min="15461" max="15461" customWidth="1" width="9.140625"/>
    <col min="15462" max="15462" customWidth="1" width="9.140625"/>
    <col min="15463" max="15463" customWidth="1" width="9.140625"/>
    <col min="15464" max="15464" customWidth="1" width="9.140625"/>
    <col min="15465" max="15465" customWidth="1" width="9.140625"/>
    <col min="15466" max="15466" customWidth="1" width="9.140625"/>
    <col min="15467" max="15467" customWidth="1" width="9.140625"/>
    <col min="15468" max="15468" customWidth="1" width="9.140625"/>
    <col min="15469" max="15469" customWidth="1" width="9.140625"/>
    <col min="15470" max="15470" customWidth="1" width="9.140625"/>
    <col min="15471" max="15471" customWidth="1" width="9.140625"/>
    <col min="15472" max="15472" customWidth="1" width="9.140625"/>
    <col min="15473" max="15473" customWidth="1" width="9.140625"/>
    <col min="15474" max="15474" customWidth="1" width="9.140625"/>
    <col min="15475" max="15475" customWidth="1" width="9.140625"/>
    <col min="15476" max="15476" customWidth="1" width="9.140625"/>
    <col min="15477" max="15477" customWidth="1" width="9.140625"/>
    <col min="15478" max="15478" customWidth="1" width="9.140625"/>
    <col min="15479" max="15479" customWidth="1" width="9.140625"/>
    <col min="15480" max="15480" customWidth="1" width="9.140625"/>
    <col min="15481" max="15481" customWidth="1" width="9.140625"/>
    <col min="15482" max="15482" customWidth="1" width="9.140625"/>
    <col min="15483" max="15483" customWidth="1" width="9.140625"/>
    <col min="15484" max="15484" customWidth="1" width="9.140625"/>
    <col min="15485" max="15485" customWidth="1" width="9.140625"/>
    <col min="15486" max="15486" customWidth="1" width="9.140625"/>
    <col min="15487" max="15487" customWidth="1" width="9.140625"/>
    <col min="15488" max="15488" customWidth="1" width="9.140625"/>
    <col min="15489" max="15489" customWidth="1" width="9.140625"/>
    <col min="15490" max="15490" customWidth="1" width="9.140625"/>
    <col min="15491" max="15491" customWidth="1" width="9.140625"/>
    <col min="15492" max="15492" customWidth="1" width="9.140625"/>
    <col min="15493" max="15493" customWidth="1" width="9.140625"/>
    <col min="15494" max="15494" customWidth="1" width="9.140625"/>
    <col min="15495" max="15495" customWidth="1" width="9.140625"/>
    <col min="15496" max="15496" customWidth="1" width="9.140625"/>
    <col min="15497" max="15497" customWidth="1" width="9.140625"/>
    <col min="15498" max="15498" customWidth="1" width="9.140625"/>
    <col min="15499" max="15499" customWidth="1" width="9.140625"/>
    <col min="15500" max="15500" customWidth="1" width="9.140625"/>
    <col min="15501" max="15501" customWidth="1" width="9.140625"/>
    <col min="15502" max="15502" customWidth="1" width="9.140625"/>
    <col min="15503" max="15503" customWidth="1" width="9.140625"/>
    <col min="15504" max="15504" customWidth="1" width="9.140625"/>
    <col min="15505" max="15505" customWidth="1" width="9.140625"/>
    <col min="15506" max="15506" customWidth="1" width="9.140625"/>
    <col min="15507" max="15507" customWidth="1" width="9.140625"/>
    <col min="15508" max="15508" customWidth="1" width="9.140625"/>
    <col min="15509" max="15509" customWidth="1" width="9.140625"/>
    <col min="15510" max="15510" customWidth="1" width="9.140625"/>
    <col min="15511" max="15511" customWidth="1" width="9.140625"/>
    <col min="15512" max="15512" customWidth="1" width="9.140625"/>
    <col min="15513" max="15513" customWidth="1" width="9.140625"/>
    <col min="15514" max="15514" customWidth="1" width="9.140625"/>
    <col min="15515" max="15515" customWidth="1" width="9.140625"/>
    <col min="15516" max="15516" customWidth="1" width="9.140625"/>
    <col min="15517" max="15517" customWidth="1" width="9.140625"/>
    <col min="15518" max="15518" customWidth="1" width="9.140625"/>
    <col min="15519" max="15519" customWidth="1" width="9.140625"/>
    <col min="15520" max="15520" customWidth="1" width="9.140625"/>
    <col min="15521" max="15521" customWidth="1" width="9.140625"/>
    <col min="15522" max="15522" customWidth="1" width="9.140625"/>
    <col min="15523" max="15523" customWidth="1" width="9.140625"/>
    <col min="15524" max="15524" customWidth="1" width="9.140625"/>
    <col min="15525" max="15525" customWidth="1" width="9.140625"/>
    <col min="15526" max="15526" customWidth="1" width="9.140625"/>
    <col min="15527" max="15527" customWidth="1" width="9.140625"/>
    <col min="15528" max="15528" customWidth="1" width="9.140625"/>
    <col min="15529" max="15529" customWidth="1" width="9.140625"/>
    <col min="15530" max="15530" customWidth="1" width="9.140625"/>
    <col min="15531" max="15531" customWidth="1" width="9.140625"/>
    <col min="15532" max="15532" customWidth="1" width="9.140625"/>
    <col min="15533" max="15533" customWidth="1" width="9.140625"/>
    <col min="15534" max="15534" customWidth="1" width="9.140625"/>
    <col min="15535" max="15535" customWidth="1" width="9.140625"/>
    <col min="15536" max="15536" customWidth="1" width="9.140625"/>
    <col min="15537" max="15537" customWidth="1" width="9.140625"/>
    <col min="15538" max="15538" customWidth="1" width="9.140625"/>
    <col min="15539" max="15539" customWidth="1" width="9.140625"/>
    <col min="15540" max="15540" customWidth="1" width="9.140625"/>
    <col min="15541" max="15541" customWidth="1" width="9.140625"/>
    <col min="15542" max="15542" customWidth="1" width="9.140625"/>
    <col min="15543" max="15543" customWidth="1" width="9.140625"/>
    <col min="15544" max="15544" customWidth="1" width="9.140625"/>
    <col min="15545" max="15545" customWidth="1" width="9.140625"/>
    <col min="15546" max="15546" customWidth="1" width="9.140625"/>
    <col min="15547" max="15547" customWidth="1" width="9.140625"/>
    <col min="15548" max="15548" customWidth="1" width="9.140625"/>
    <col min="15549" max="15549" customWidth="1" width="9.140625"/>
    <col min="15550" max="15550" customWidth="1" width="9.140625"/>
    <col min="15551" max="15551" customWidth="1" width="9.140625"/>
    <col min="15552" max="15552" customWidth="1" width="9.140625"/>
    <col min="15553" max="15553" customWidth="1" width="9.140625"/>
    <col min="15554" max="15554" customWidth="1" width="9.140625"/>
    <col min="15555" max="15555" customWidth="1" width="9.140625"/>
    <col min="15556" max="15556" customWidth="1" width="9.140625"/>
    <col min="15557" max="15557" customWidth="1" width="9.140625"/>
    <col min="15558" max="15558" customWidth="1" width="9.140625"/>
    <col min="15559" max="15559" customWidth="1" width="9.140625"/>
    <col min="15560" max="15560" customWidth="1" width="9.140625"/>
    <col min="15561" max="15561" customWidth="1" width="9.140625"/>
    <col min="15562" max="15562" customWidth="1" width="9.140625"/>
    <col min="15563" max="15563" customWidth="1" width="9.140625"/>
    <col min="15564" max="15564" customWidth="1" width="9.140625"/>
    <col min="15565" max="15565" customWidth="1" width="9.140625"/>
    <col min="15566" max="15566" customWidth="1" width="9.140625"/>
    <col min="15567" max="15567" customWidth="1" width="9.140625"/>
    <col min="15568" max="15568" customWidth="1" width="9.140625"/>
    <col min="15569" max="15569" customWidth="1" width="9.140625"/>
    <col min="15570" max="15570" customWidth="1" width="9.140625"/>
    <col min="15571" max="15571" customWidth="1" width="9.140625"/>
    <col min="15572" max="15572" customWidth="1" width="9.140625"/>
    <col min="15573" max="15573" customWidth="1" width="9.140625"/>
    <col min="15574" max="15574" customWidth="1" width="9.140625"/>
    <col min="15575" max="15575" customWidth="1" width="9.140625"/>
    <col min="15576" max="15576" customWidth="1" width="9.140625"/>
    <col min="15577" max="15577" customWidth="1" width="9.140625"/>
    <col min="15578" max="15578" customWidth="1" width="9.140625"/>
    <col min="15579" max="15579" customWidth="1" width="9.140625"/>
    <col min="15580" max="15580" customWidth="1" width="9.140625"/>
    <col min="15581" max="15581" customWidth="1" width="9.140625"/>
    <col min="15582" max="15582" customWidth="1" width="9.140625"/>
    <col min="15583" max="15583" customWidth="1" width="9.140625"/>
    <col min="15584" max="15584" customWidth="1" width="9.140625"/>
    <col min="15585" max="15585" customWidth="1" width="9.140625"/>
    <col min="15586" max="15586" customWidth="1" width="9.140625"/>
    <col min="15587" max="15587" customWidth="1" width="9.140625"/>
    <col min="15588" max="15588" customWidth="1" width="9.140625"/>
    <col min="15589" max="15589" customWidth="1" width="9.140625"/>
    <col min="15590" max="15590" customWidth="1" width="9.140625"/>
    <col min="15591" max="15591" customWidth="1" width="9.140625"/>
    <col min="15592" max="15592" customWidth="1" width="9.140625"/>
    <col min="15593" max="15593" customWidth="1" width="9.140625"/>
    <col min="15594" max="15594" customWidth="1" width="9.140625"/>
    <col min="15595" max="15595" customWidth="1" width="9.140625"/>
    <col min="15596" max="15596" customWidth="1" width="9.140625"/>
    <col min="15597" max="15597" customWidth="1" width="9.140625"/>
    <col min="15598" max="15598" customWidth="1" width="9.140625"/>
    <col min="15599" max="15599" customWidth="1" width="9.140625"/>
    <col min="15600" max="15600" customWidth="1" width="9.140625"/>
    <col min="15601" max="15601" customWidth="1" width="9.140625"/>
    <col min="15602" max="15602" customWidth="1" width="9.140625"/>
    <col min="15603" max="15603" customWidth="1" width="9.140625"/>
    <col min="15604" max="15604" customWidth="1" width="9.140625"/>
    <col min="15605" max="15605" customWidth="1" width="9.140625"/>
    <col min="15606" max="15606" customWidth="1" width="9.140625"/>
    <col min="15607" max="15607" customWidth="1" width="9.140625"/>
    <col min="15608" max="15608" customWidth="1" width="9.140625"/>
    <col min="15609" max="15609" customWidth="1" width="9.140625"/>
    <col min="15610" max="15610" customWidth="1" width="9.140625"/>
    <col min="15611" max="15611" customWidth="1" width="9.140625"/>
    <col min="15612" max="15612" customWidth="1" width="9.140625"/>
    <col min="15613" max="15613" customWidth="1" width="9.140625"/>
    <col min="15614" max="15614" customWidth="1" width="9.140625"/>
    <col min="15615" max="15615" customWidth="1" width="9.140625"/>
    <col min="15616" max="15616" customWidth="1" width="9.140625"/>
    <col min="15617" max="15617" customWidth="1" width="9.140625"/>
    <col min="15618" max="15618" customWidth="1" width="9.140625"/>
    <col min="15619" max="15619" customWidth="1" width="9.140625"/>
    <col min="15620" max="15620" customWidth="1" width="9.140625"/>
    <col min="15621" max="15621" customWidth="1" width="9.140625"/>
    <col min="15622" max="15622" customWidth="1" width="9.140625"/>
    <col min="15623" max="15623" customWidth="1" width="9.140625"/>
    <col min="15624" max="15624" customWidth="1" width="9.140625"/>
    <col min="15625" max="15625" customWidth="1" width="9.140625"/>
    <col min="15626" max="15626" customWidth="1" width="9.140625"/>
    <col min="15627" max="15627" customWidth="1" width="9.140625"/>
    <col min="15628" max="15628" customWidth="1" width="9.140625"/>
    <col min="15629" max="15629" customWidth="1" width="9.140625"/>
    <col min="15630" max="15630" customWidth="1" width="9.140625"/>
    <col min="15631" max="15631" customWidth="1" width="9.140625"/>
    <col min="15632" max="15632" customWidth="1" width="9.140625"/>
    <col min="15633" max="15633" customWidth="1" width="9.140625"/>
    <col min="15634" max="15634" customWidth="1" width="9.140625"/>
    <col min="15635" max="15635" customWidth="1" width="9.140625"/>
    <col min="15636" max="15636" customWidth="1" width="9.140625"/>
    <col min="15637" max="15637" customWidth="1" width="9.140625"/>
    <col min="15638" max="15638" customWidth="1" width="9.140625"/>
    <col min="15639" max="15639" customWidth="1" width="9.140625"/>
    <col min="15640" max="15640" customWidth="1" width="9.140625"/>
    <col min="15641" max="15641" customWidth="1" width="9.140625"/>
    <col min="15642" max="15642" customWidth="1" width="9.140625"/>
    <col min="15643" max="15643" customWidth="1" width="9.140625"/>
    <col min="15644" max="15644" customWidth="1" width="9.140625"/>
    <col min="15645" max="15645" customWidth="1" width="9.140625"/>
    <col min="15646" max="15646" customWidth="1" width="9.140625"/>
    <col min="15647" max="15647" customWidth="1" width="9.140625"/>
    <col min="15648" max="15648" customWidth="1" width="9.140625"/>
    <col min="15649" max="15649" customWidth="1" width="9.140625"/>
    <col min="15650" max="15650" customWidth="1" width="9.140625"/>
    <col min="15651" max="15651" customWidth="1" width="9.140625"/>
    <col min="15652" max="15652" customWidth="1" width="9.140625"/>
    <col min="15653" max="15653" customWidth="1" width="9.140625"/>
    <col min="15654" max="15654" customWidth="1" width="9.140625"/>
    <col min="15655" max="15655" customWidth="1" width="9.140625"/>
    <col min="15656" max="15656" customWidth="1" width="9.140625"/>
    <col min="15657" max="15657" customWidth="1" width="9.140625"/>
    <col min="15658" max="15658" customWidth="1" width="9.140625"/>
    <col min="15659" max="15659" customWidth="1" width="9.140625"/>
    <col min="15660" max="15660" customWidth="1" width="9.140625"/>
    <col min="15661" max="15661" customWidth="1" width="9.140625"/>
    <col min="15662" max="15662" customWidth="1" width="9.140625"/>
    <col min="15663" max="15663" customWidth="1" width="9.140625"/>
    <col min="15664" max="15664" customWidth="1" width="9.140625"/>
    <col min="15665" max="15665" customWidth="1" width="9.140625"/>
    <col min="15666" max="15666" customWidth="1" width="9.140625"/>
    <col min="15667" max="15667" customWidth="1" width="9.140625"/>
    <col min="15668" max="15668" customWidth="1" width="9.140625"/>
    <col min="15669" max="15669" customWidth="1" width="9.140625"/>
    <col min="15670" max="15670" customWidth="1" width="9.140625"/>
    <col min="15671" max="15671" customWidth="1" width="9.140625"/>
    <col min="15672" max="15672" customWidth="1" width="9.140625"/>
    <col min="15673" max="15673" customWidth="1" width="9.140625"/>
    <col min="15674" max="15674" customWidth="1" width="9.140625"/>
    <col min="15675" max="15675" customWidth="1" width="9.140625"/>
    <col min="15676" max="15676" customWidth="1" width="9.140625"/>
    <col min="15677" max="15677" customWidth="1" width="9.140625"/>
    <col min="15678" max="15678" customWidth="1" width="9.140625"/>
    <col min="15679" max="15679" customWidth="1" width="9.140625"/>
    <col min="15680" max="15680" customWidth="1" width="9.140625"/>
    <col min="15681" max="15681" customWidth="1" width="9.140625"/>
    <col min="15682" max="15682" customWidth="1" width="9.140625"/>
    <col min="15683" max="15683" customWidth="1" width="9.140625"/>
    <col min="15684" max="15684" customWidth="1" width="9.140625"/>
    <col min="15685" max="15685" customWidth="1" width="9.140625"/>
    <col min="15686" max="15686" customWidth="1" width="9.140625"/>
    <col min="15687" max="15687" customWidth="1" width="9.140625"/>
    <col min="15688" max="15688" customWidth="1" width="9.140625"/>
    <col min="15689" max="15689" customWidth="1" width="9.140625"/>
    <col min="15690" max="15690" customWidth="1" width="9.140625"/>
    <col min="15691" max="15691" customWidth="1" width="9.140625"/>
    <col min="15692" max="15692" customWidth="1" width="9.140625"/>
    <col min="15693" max="15693" customWidth="1" width="9.140625"/>
    <col min="15694" max="15694" customWidth="1" width="9.140625"/>
    <col min="15695" max="15695" customWidth="1" width="9.140625"/>
    <col min="15696" max="15696" customWidth="1" width="9.140625"/>
    <col min="15697" max="15697" customWidth="1" width="9.140625"/>
    <col min="15698" max="15698" customWidth="1" width="9.140625"/>
    <col min="15699" max="15699" customWidth="1" width="9.140625"/>
    <col min="15700" max="15700" customWidth="1" width="9.140625"/>
    <col min="15701" max="15701" customWidth="1" width="9.140625"/>
    <col min="15702" max="15702" customWidth="1" width="9.140625"/>
    <col min="15703" max="15703" customWidth="1" width="9.140625"/>
    <col min="15704" max="15704" customWidth="1" width="9.140625"/>
    <col min="15705" max="15705" customWidth="1" width="9.140625"/>
    <col min="15706" max="15706" customWidth="1" width="9.140625"/>
    <col min="15707" max="15707" customWidth="1" width="9.140625"/>
    <col min="15708" max="15708" customWidth="1" width="9.140625"/>
    <col min="15709" max="15709" customWidth="1" width="9.140625"/>
    <col min="15710" max="15710" customWidth="1" width="9.140625"/>
    <col min="15711" max="15711" customWidth="1" width="9.140625"/>
    <col min="15712" max="15712" customWidth="1" width="9.140625"/>
    <col min="15713" max="15713" customWidth="1" width="9.140625"/>
    <col min="15714" max="15714" customWidth="1" width="9.140625"/>
    <col min="15715" max="15715" customWidth="1" width="9.140625"/>
    <col min="15716" max="15716" customWidth="1" width="9.140625"/>
    <col min="15717" max="15717" customWidth="1" width="9.140625"/>
    <col min="15718" max="15718" customWidth="1" width="9.140625"/>
    <col min="15719" max="15719" customWidth="1" width="9.140625"/>
    <col min="15720" max="15720" customWidth="1" width="9.140625"/>
    <col min="15721" max="15721" customWidth="1" width="9.140625"/>
    <col min="15722" max="15722" customWidth="1" width="9.140625"/>
    <col min="15723" max="15723" customWidth="1" width="9.140625"/>
    <col min="15724" max="15724" customWidth="1" width="9.140625"/>
    <col min="15725" max="15725" customWidth="1" width="9.140625"/>
    <col min="15726" max="15726" customWidth="1" width="9.140625"/>
    <col min="15727" max="15727" customWidth="1" width="9.140625"/>
    <col min="15728" max="15728" customWidth="1" width="9.140625"/>
    <col min="15729" max="15729" customWidth="1" width="9.140625"/>
    <col min="15730" max="15730" customWidth="1" width="9.140625"/>
    <col min="15731" max="15731" customWidth="1" width="9.140625"/>
    <col min="15732" max="15732" customWidth="1" width="9.140625"/>
    <col min="15733" max="15733" customWidth="1" width="9.140625"/>
    <col min="15734" max="15734" customWidth="1" width="9.140625"/>
    <col min="15735" max="15735" customWidth="1" width="9.140625"/>
    <col min="15736" max="15736" customWidth="1" width="9.140625"/>
    <col min="15737" max="15737" customWidth="1" width="9.140625"/>
    <col min="15738" max="15738" customWidth="1" width="9.140625"/>
    <col min="15739" max="15739" customWidth="1" width="9.140625"/>
    <col min="15740" max="15740" customWidth="1" width="9.140625"/>
    <col min="15741" max="15741" customWidth="1" width="9.140625"/>
    <col min="15742" max="15742" customWidth="1" width="9.140625"/>
    <col min="15743" max="15743" customWidth="1" width="9.140625"/>
    <col min="15744" max="15744" customWidth="1" width="9.140625"/>
    <col min="15745" max="15745" customWidth="1" width="9.140625"/>
    <col min="15746" max="15746" customWidth="1" width="9.140625"/>
    <col min="15747" max="15747" customWidth="1" width="9.140625"/>
    <col min="15748" max="15748" customWidth="1" width="9.140625"/>
    <col min="15749" max="15749" customWidth="1" width="9.140625"/>
    <col min="15750" max="15750" customWidth="1" width="9.140625"/>
    <col min="15751" max="15751" customWidth="1" width="9.140625"/>
    <col min="15752" max="15752" customWidth="1" width="9.140625"/>
    <col min="15753" max="15753" customWidth="1" width="9.140625"/>
    <col min="15754" max="15754" customWidth="1" width="9.140625"/>
    <col min="15755" max="15755" customWidth="1" width="9.140625"/>
    <col min="15756" max="15756" customWidth="1" width="9.140625"/>
    <col min="15757" max="15757" customWidth="1" width="9.140625"/>
    <col min="15758" max="15758" customWidth="1" width="9.140625"/>
    <col min="15759" max="15759" customWidth="1" width="9.140625"/>
    <col min="15760" max="15760" customWidth="1" width="9.140625"/>
    <col min="15761" max="15761" customWidth="1" width="9.140625"/>
    <col min="15762" max="15762" customWidth="1" width="9.140625"/>
    <col min="15763" max="15763" customWidth="1" width="9.140625"/>
    <col min="15764" max="15764" customWidth="1" width="9.140625"/>
    <col min="15765" max="15765" customWidth="1" width="9.140625"/>
    <col min="15766" max="15766" customWidth="1" width="9.140625"/>
    <col min="15767" max="15767" customWidth="1" width="9.140625"/>
    <col min="15768" max="15768" customWidth="1" width="9.140625"/>
    <col min="15769" max="15769" customWidth="1" width="9.140625"/>
    <col min="15770" max="15770" customWidth="1" width="9.140625"/>
    <col min="15771" max="15771" customWidth="1" width="9.140625"/>
    <col min="15772" max="15772" customWidth="1" width="9.140625"/>
    <col min="15773" max="15773" customWidth="1" width="9.140625"/>
    <col min="15774" max="15774" customWidth="1" width="9.140625"/>
    <col min="15775" max="15775" customWidth="1" width="9.140625"/>
    <col min="15776" max="15776" customWidth="1" width="9.140625"/>
    <col min="15777" max="15777" customWidth="1" width="9.140625"/>
    <col min="15778" max="15778" customWidth="1" width="9.140625"/>
    <col min="15779" max="15779" customWidth="1" width="9.140625"/>
    <col min="15780" max="15780" customWidth="1" width="9.140625"/>
    <col min="15781" max="15781" customWidth="1" width="9.140625"/>
    <col min="15782" max="15782" customWidth="1" width="9.140625"/>
    <col min="15783" max="15783" customWidth="1" width="9.140625"/>
    <col min="15784" max="15784" customWidth="1" width="9.140625"/>
    <col min="15785" max="15785" customWidth="1" width="9.140625"/>
    <col min="15786" max="15786" customWidth="1" width="9.140625"/>
    <col min="15787" max="15787" customWidth="1" width="9.140625"/>
    <col min="15788" max="15788" customWidth="1" width="9.140625"/>
    <col min="15789" max="15789" customWidth="1" width="9.140625"/>
    <col min="15790" max="15790" customWidth="1" width="9.140625"/>
    <col min="15791" max="15791" customWidth="1" width="9.140625"/>
    <col min="15792" max="15792" customWidth="1" width="9.140625"/>
    <col min="15793" max="15793" customWidth="1" width="9.140625"/>
    <col min="15794" max="15794" customWidth="1" width="9.140625"/>
    <col min="15795" max="15795" customWidth="1" width="9.140625"/>
    <col min="15796" max="15796" customWidth="1" width="9.140625"/>
    <col min="15797" max="15797" customWidth="1" width="9.140625"/>
    <col min="15798" max="15798" customWidth="1" width="9.140625"/>
    <col min="15799" max="15799" customWidth="1" width="9.140625"/>
    <col min="15800" max="15800" customWidth="1" width="9.140625"/>
    <col min="15801" max="15801" customWidth="1" width="9.140625"/>
    <col min="15802" max="15802" customWidth="1" width="9.140625"/>
    <col min="15803" max="15803" customWidth="1" width="9.140625"/>
    <col min="15804" max="15804" customWidth="1" width="9.140625"/>
    <col min="15805" max="15805" customWidth="1" width="9.140625"/>
    <col min="15806" max="15806" customWidth="1" width="9.140625"/>
    <col min="15807" max="15807" customWidth="1" width="9.140625"/>
    <col min="15808" max="15808" customWidth="1" width="9.140625"/>
    <col min="15809" max="15809" customWidth="1" width="9.140625"/>
    <col min="15810" max="15810" customWidth="1" width="9.140625"/>
    <col min="15811" max="15811" customWidth="1" width="9.140625"/>
    <col min="15812" max="15812" customWidth="1" width="9.140625"/>
    <col min="15813" max="15813" customWidth="1" width="9.140625"/>
    <col min="15814" max="15814" customWidth="1" width="9.140625"/>
    <col min="15815" max="15815" customWidth="1" width="9.140625"/>
    <col min="15816" max="15816" customWidth="1" width="9.140625"/>
    <col min="15817" max="15817" customWidth="1" width="9.140625"/>
    <col min="15818" max="15818" customWidth="1" width="9.140625"/>
    <col min="15819" max="15819" customWidth="1" width="9.140625"/>
    <col min="15820" max="15820" customWidth="1" width="9.140625"/>
    <col min="15821" max="15821" customWidth="1" width="9.140625"/>
    <col min="15822" max="15822" customWidth="1" width="9.140625"/>
    <col min="15823" max="15823" customWidth="1" width="9.140625"/>
    <col min="15824" max="15824" customWidth="1" width="9.140625"/>
    <col min="15825" max="15825" customWidth="1" width="9.140625"/>
    <col min="15826" max="15826" customWidth="1" width="9.140625"/>
    <col min="15827" max="15827" customWidth="1" width="9.140625"/>
    <col min="15828" max="15828" customWidth="1" width="9.140625"/>
    <col min="15829" max="15829" customWidth="1" width="9.140625"/>
    <col min="15830" max="15830" customWidth="1" width="9.140625"/>
    <col min="15831" max="15831" customWidth="1" width="9.140625"/>
    <col min="15832" max="15832" customWidth="1" width="9.140625"/>
    <col min="15833" max="15833" customWidth="1" width="9.140625"/>
    <col min="15834" max="15834" customWidth="1" width="9.140625"/>
    <col min="15835" max="15835" customWidth="1" width="9.140625"/>
    <col min="15836" max="15836" customWidth="1" width="9.140625"/>
    <col min="15837" max="15837" customWidth="1" width="9.140625"/>
    <col min="15838" max="15838" customWidth="1" width="9.140625"/>
    <col min="15839" max="15839" customWidth="1" width="9.140625"/>
    <col min="15840" max="15840" customWidth="1" width="9.140625"/>
    <col min="15841" max="15841" customWidth="1" width="9.140625"/>
    <col min="15842" max="15842" customWidth="1" width="9.140625"/>
    <col min="15843" max="15843" customWidth="1" width="9.140625"/>
    <col min="15844" max="15844" customWidth="1" width="9.140625"/>
    <col min="15845" max="15845" customWidth="1" width="9.140625"/>
    <col min="15846" max="15846" customWidth="1" width="9.140625"/>
    <col min="15847" max="15847" customWidth="1" width="9.140625"/>
    <col min="15848" max="15848" customWidth="1" width="9.140625"/>
    <col min="15849" max="15849" customWidth="1" width="9.140625"/>
    <col min="15850" max="15850" customWidth="1" width="9.140625"/>
    <col min="15851" max="15851" customWidth="1" width="9.140625"/>
    <col min="15852" max="15852" customWidth="1" width="9.140625"/>
    <col min="15853" max="15853" customWidth="1" width="9.140625"/>
    <col min="15854" max="15854" customWidth="1" width="9.140625"/>
    <col min="15855" max="15855" customWidth="1" width="9.140625"/>
    <col min="15856" max="15856" customWidth="1" width="9.140625"/>
    <col min="15857" max="15857" customWidth="1" width="9.140625"/>
    <col min="15858" max="15858" customWidth="1" width="9.140625"/>
    <col min="15859" max="15859" customWidth="1" width="9.140625"/>
    <col min="15860" max="15860" customWidth="1" width="9.140625"/>
    <col min="15861" max="15861" customWidth="1" width="9.140625"/>
    <col min="15862" max="15862" customWidth="1" width="9.140625"/>
    <col min="15863" max="15863" customWidth="1" width="9.140625"/>
    <col min="15864" max="15864" customWidth="1" width="9.140625"/>
    <col min="15865" max="15865" customWidth="1" width="9.140625"/>
    <col min="15866" max="15866" customWidth="1" width="9.140625"/>
    <col min="15867" max="15867" customWidth="1" width="9.140625"/>
    <col min="15868" max="15868" customWidth="1" width="9.140625"/>
    <col min="15869" max="15869" customWidth="1" width="9.140625"/>
    <col min="15870" max="15870" customWidth="1" width="9.140625"/>
    <col min="15871" max="15871" customWidth="1" width="9.140625"/>
    <col min="15872" max="15872" customWidth="1" width="9.140625"/>
    <col min="15873" max="15873" customWidth="1" width="9.140625"/>
    <col min="15874" max="15874" customWidth="1" width="9.140625"/>
    <col min="15875" max="15875" customWidth="1" width="9.140625"/>
    <col min="15876" max="15876" customWidth="1" width="9.140625"/>
    <col min="15877" max="15877" customWidth="1" width="9.140625"/>
    <col min="15878" max="15878" customWidth="1" width="9.140625"/>
    <col min="15879" max="15879" customWidth="1" width="9.140625"/>
    <col min="15880" max="15880" customWidth="1" width="9.140625"/>
    <col min="15881" max="15881" customWidth="1" width="9.140625"/>
    <col min="15882" max="15882" customWidth="1" width="9.140625"/>
    <col min="15883" max="15883" customWidth="1" width="9.140625"/>
    <col min="15884" max="15884" customWidth="1" width="9.140625"/>
    <col min="15885" max="15885" customWidth="1" width="9.140625"/>
    <col min="15886" max="15886" customWidth="1" width="9.140625"/>
    <col min="15887" max="15887" customWidth="1" width="9.140625"/>
    <col min="15888" max="15888" customWidth="1" width="9.140625"/>
    <col min="15889" max="15889" customWidth="1" width="9.140625"/>
    <col min="15890" max="15890" customWidth="1" width="9.140625"/>
    <col min="15891" max="15891" customWidth="1" width="9.140625"/>
    <col min="15892" max="15892" customWidth="1" width="9.140625"/>
    <col min="15893" max="15893" customWidth="1" width="9.140625"/>
    <col min="15894" max="15894" customWidth="1" width="9.140625"/>
    <col min="15895" max="15895" customWidth="1" width="9.140625"/>
    <col min="15896" max="15896" customWidth="1" width="9.140625"/>
    <col min="15897" max="15897" customWidth="1" width="9.140625"/>
    <col min="15898" max="15898" customWidth="1" width="9.140625"/>
    <col min="15899" max="15899" customWidth="1" width="9.140625"/>
    <col min="15900" max="15900" customWidth="1" width="9.140625"/>
    <col min="15901" max="15901" customWidth="1" width="9.140625"/>
    <col min="15902" max="15902" customWidth="1" width="9.140625"/>
    <col min="15903" max="15903" customWidth="1" width="9.140625"/>
    <col min="15904" max="15904" customWidth="1" width="9.140625"/>
    <col min="15905" max="15905" customWidth="1" width="9.140625"/>
    <col min="15906" max="15906" customWidth="1" width="9.140625"/>
    <col min="15907" max="15907" customWidth="1" width="9.140625"/>
    <col min="15908" max="15908" customWidth="1" width="9.140625"/>
    <col min="15909" max="15909" customWidth="1" width="9.140625"/>
    <col min="15910" max="15910" customWidth="1" width="9.140625"/>
    <col min="15911" max="15911" customWidth="1" width="9.140625"/>
    <col min="15912" max="15912" customWidth="1" width="9.140625"/>
    <col min="15913" max="15913" customWidth="1" width="9.140625"/>
    <col min="15914" max="15914" customWidth="1" width="9.140625"/>
    <col min="15915" max="15915" customWidth="1" width="9.140625"/>
    <col min="15916" max="15916" customWidth="1" width="9.140625"/>
    <col min="15917" max="15917" customWidth="1" width="9.140625"/>
    <col min="15918" max="15918" customWidth="1" width="9.140625"/>
    <col min="15919" max="15919" customWidth="1" width="9.140625"/>
    <col min="15920" max="15920" customWidth="1" width="9.140625"/>
    <col min="15921" max="15921" customWidth="1" width="9.140625"/>
    <col min="15922" max="15922" customWidth="1" width="9.140625"/>
    <col min="15923" max="15923" customWidth="1" width="9.140625"/>
    <col min="15924" max="15924" customWidth="1" width="9.140625"/>
    <col min="15925" max="15925" customWidth="1" width="9.140625"/>
    <col min="15926" max="15926" customWidth="1" width="9.140625"/>
    <col min="15927" max="15927" customWidth="1" width="9.140625"/>
    <col min="15928" max="15928" customWidth="1" width="9.140625"/>
    <col min="15929" max="15929" customWidth="1" width="9.140625"/>
    <col min="15930" max="15930" customWidth="1" width="9.140625"/>
    <col min="15931" max="15931" customWidth="1" width="9.140625"/>
    <col min="15932" max="15932" customWidth="1" width="9.140625"/>
    <col min="15933" max="15933" customWidth="1" width="9.140625"/>
    <col min="15934" max="15934" customWidth="1" width="9.140625"/>
    <col min="15935" max="15935" customWidth="1" width="9.140625"/>
    <col min="15936" max="15936" customWidth="1" width="9.140625"/>
    <col min="15937" max="15937" customWidth="1" width="9.140625"/>
    <col min="15938" max="15938" customWidth="1" width="9.140625"/>
    <col min="15939" max="15939" customWidth="1" width="9.140625"/>
    <col min="15940" max="15940" customWidth="1" width="9.140625"/>
    <col min="15941" max="15941" customWidth="1" width="9.140625"/>
    <col min="15942" max="15942" customWidth="1" width="9.140625"/>
    <col min="15943" max="15943" customWidth="1" width="9.140625"/>
    <col min="15944" max="15944" customWidth="1" width="9.140625"/>
    <col min="15945" max="15945" customWidth="1" width="9.140625"/>
    <col min="15946" max="15946" customWidth="1" width="9.140625"/>
    <col min="15947" max="15947" customWidth="1" width="9.140625"/>
    <col min="15948" max="15948" customWidth="1" width="9.140625"/>
    <col min="15949" max="15949" customWidth="1" width="9.140625"/>
    <col min="15950" max="15950" customWidth="1" width="9.140625"/>
    <col min="15951" max="15951" customWidth="1" width="9.140625"/>
    <col min="15952" max="15952" customWidth="1" width="9.140625"/>
    <col min="15953" max="15953" customWidth="1" width="9.140625"/>
    <col min="15954" max="15954" customWidth="1" width="9.140625"/>
    <col min="15955" max="15955" customWidth="1" width="9.140625"/>
    <col min="15956" max="15956" customWidth="1" width="9.140625"/>
    <col min="15957" max="15957" customWidth="1" width="9.140625"/>
    <col min="15958" max="15958" customWidth="1" width="9.140625"/>
    <col min="15959" max="15959" customWidth="1" width="9.140625"/>
    <col min="15960" max="15960" customWidth="1" width="9.140625"/>
    <col min="15961" max="15961" customWidth="1" width="9.140625"/>
    <col min="15962" max="15962" customWidth="1" width="9.140625"/>
    <col min="15963" max="15963" customWidth="1" width="9.140625"/>
    <col min="15964" max="15964" customWidth="1" width="9.140625"/>
    <col min="15965" max="15965" customWidth="1" width="9.140625"/>
    <col min="15966" max="15966" customWidth="1" width="9.140625"/>
    <col min="15967" max="15967" customWidth="1" width="9.140625"/>
    <col min="15968" max="15968" customWidth="1" width="9.140625"/>
    <col min="15969" max="15969" customWidth="1" width="9.140625"/>
    <col min="15970" max="15970" customWidth="1" width="9.140625"/>
    <col min="15971" max="15971" customWidth="1" width="9.140625"/>
    <col min="15972" max="15972" customWidth="1" width="9.140625"/>
    <col min="15973" max="15973" customWidth="1" width="9.140625"/>
    <col min="15974" max="15974" customWidth="1" width="9.140625"/>
    <col min="15975" max="15975" customWidth="1" width="9.140625"/>
    <col min="15976" max="15976" customWidth="1" width="9.140625"/>
    <col min="15977" max="15977" customWidth="1" width="9.140625"/>
    <col min="15978" max="15978" customWidth="1" width="9.140625"/>
    <col min="15979" max="15979" customWidth="1" width="9.140625"/>
    <col min="15980" max="15980" customWidth="1" width="9.140625"/>
    <col min="15981" max="15981" customWidth="1" width="9.140625"/>
    <col min="15982" max="15982" customWidth="1" width="9.140625"/>
    <col min="15983" max="15983" customWidth="1" width="9.140625"/>
    <col min="15984" max="15984" customWidth="1" width="9.140625"/>
    <col min="15985" max="15985" customWidth="1" width="9.140625"/>
    <col min="15986" max="15986" customWidth="1" width="9.140625"/>
    <col min="15987" max="15987" customWidth="1" width="9.140625"/>
    <col min="15988" max="15988" customWidth="1" width="9.140625"/>
    <col min="15989" max="15989" customWidth="1" width="9.140625"/>
    <col min="15990" max="15990" customWidth="1" width="9.140625"/>
    <col min="15991" max="15991" customWidth="1" width="9.140625"/>
    <col min="15992" max="15992" customWidth="1" width="9.140625"/>
    <col min="15993" max="15993" customWidth="1" width="9.140625"/>
    <col min="15994" max="15994" customWidth="1" width="9.140625"/>
    <col min="15995" max="15995" customWidth="1" width="9.140625"/>
    <col min="15996" max="15996" customWidth="1" width="9.140625"/>
    <col min="15997" max="15997" customWidth="1" width="9.140625"/>
    <col min="15998" max="15998" customWidth="1" width="9.140625"/>
    <col min="15999" max="15999" customWidth="1" width="9.140625"/>
    <col min="16000" max="16000" customWidth="1" width="9.140625"/>
    <col min="16001" max="16001" customWidth="1" width="9.140625"/>
    <col min="16002" max="16002" customWidth="1" width="9.140625"/>
    <col min="16003" max="16003" customWidth="1" width="9.140625"/>
    <col min="16004" max="16004" customWidth="1" width="9.140625"/>
    <col min="16005" max="16005" customWidth="1" width="9.140625"/>
    <col min="16006" max="16006" customWidth="1" width="9.140625"/>
    <col min="16007" max="16007" customWidth="1" width="9.140625"/>
    <col min="16008" max="16008" customWidth="1" width="9.140625"/>
    <col min="16009" max="16009" customWidth="1" width="9.140625"/>
    <col min="16010" max="16010" customWidth="1" width="9.140625"/>
    <col min="16011" max="16011" customWidth="1" width="9.140625"/>
    <col min="16012" max="16012" customWidth="1" width="9.140625"/>
    <col min="16013" max="16013" customWidth="1" width="9.140625"/>
    <col min="16014" max="16014" customWidth="1" width="9.140625"/>
    <col min="16015" max="16015" customWidth="1" width="9.140625"/>
    <col min="16016" max="16016" customWidth="1" width="9.140625"/>
    <col min="16017" max="16017" customWidth="1" width="9.140625"/>
    <col min="16018" max="16018" customWidth="1" width="9.140625"/>
    <col min="16019" max="16019" customWidth="1" width="9.140625"/>
    <col min="16020" max="16020" customWidth="1" width="9.140625"/>
    <col min="16021" max="16021" customWidth="1" width="9.140625"/>
    <col min="16022" max="16022" customWidth="1" width="9.140625"/>
    <col min="16023" max="16023" customWidth="1" width="9.140625"/>
    <col min="16024" max="16024" customWidth="1" width="9.140625"/>
    <col min="16025" max="16025" customWidth="1" width="9.140625"/>
    <col min="16026" max="16026" customWidth="1" width="9.140625"/>
    <col min="16027" max="16027" customWidth="1" width="9.140625"/>
    <col min="16028" max="16028" customWidth="1" width="9.140625"/>
    <col min="16029" max="16029" customWidth="1" width="9.140625"/>
    <col min="16030" max="16030" customWidth="1" width="9.140625"/>
    <col min="16031" max="16031" customWidth="1" width="9.140625"/>
    <col min="16032" max="16032" customWidth="1" width="9.140625"/>
    <col min="16033" max="16033" customWidth="1" width="9.140625"/>
    <col min="16034" max="16034" customWidth="1" width="9.140625"/>
    <col min="16035" max="16035" customWidth="1" width="9.140625"/>
    <col min="16036" max="16036" customWidth="1" width="9.140625"/>
    <col min="16037" max="16037" customWidth="1" width="9.140625"/>
    <col min="16038" max="16038" customWidth="1" width="9.140625"/>
    <col min="16039" max="16039" customWidth="1" width="9.140625"/>
    <col min="16040" max="16040" customWidth="1" width="9.140625"/>
    <col min="16041" max="16041" customWidth="1" width="9.140625"/>
    <col min="16042" max="16042" customWidth="1" width="9.140625"/>
    <col min="16043" max="16043" customWidth="1" width="9.140625"/>
    <col min="16044" max="16044" customWidth="1" width="9.140625"/>
    <col min="16045" max="16045" customWidth="1" width="9.140625"/>
    <col min="16046" max="16046" customWidth="1" width="9.140625"/>
    <col min="16047" max="16047" customWidth="1" width="9.140625"/>
    <col min="16048" max="16048" customWidth="1" width="9.140625"/>
    <col min="16049" max="16049" customWidth="1" width="9.140625"/>
    <col min="16050" max="16050" customWidth="1" width="9.140625"/>
    <col min="16051" max="16051" customWidth="1" width="9.140625"/>
    <col min="16052" max="16052" customWidth="1" width="9.140625"/>
    <col min="16053" max="16053" customWidth="1" width="9.140625"/>
    <col min="16054" max="16054" customWidth="1" width="9.140625"/>
    <col min="16055" max="16055" customWidth="1" width="9.140625"/>
    <col min="16056" max="16056" customWidth="1" width="9.140625"/>
    <col min="16057" max="16057" customWidth="1" width="9.140625"/>
    <col min="16058" max="16058" customWidth="1" width="9.140625"/>
    <col min="16059" max="16059" customWidth="1" width="9.140625"/>
    <col min="16060" max="16060" customWidth="1" width="9.140625"/>
    <col min="16061" max="16061" customWidth="1" width="9.140625"/>
    <col min="16062" max="16062" customWidth="1" width="9.140625"/>
    <col min="16063" max="16063" customWidth="1" width="9.140625"/>
    <col min="16064" max="16064" customWidth="1" width="9.140625"/>
    <col min="16065" max="16065" customWidth="1" width="9.140625"/>
    <col min="16066" max="16066" customWidth="1" width="9.140625"/>
    <col min="16067" max="16067" customWidth="1" width="9.140625"/>
    <col min="16068" max="16068" customWidth="1" width="9.140625"/>
    <col min="16069" max="16069" customWidth="1" width="9.140625"/>
    <col min="16070" max="16070" customWidth="1" width="9.140625"/>
    <col min="16071" max="16071" customWidth="1" width="9.140625"/>
    <col min="16072" max="16072" customWidth="1" width="9.140625"/>
    <col min="16073" max="16073" customWidth="1" width="9.140625"/>
    <col min="16074" max="16074" customWidth="1" width="9.140625"/>
    <col min="16075" max="16075" customWidth="1" width="9.140625"/>
    <col min="16076" max="16076" customWidth="1" width="9.140625"/>
    <col min="16077" max="16077" customWidth="1" width="9.140625"/>
    <col min="16078" max="16078" customWidth="1" width="9.140625"/>
    <col min="16079" max="16079" customWidth="1" width="9.140625"/>
    <col min="16080" max="16080" customWidth="1" width="9.140625"/>
    <col min="16081" max="16081" customWidth="1" width="9.140625"/>
    <col min="16082" max="16082" customWidth="1" width="9.140625"/>
    <col min="16083" max="16083" customWidth="1" width="9.140625"/>
    <col min="16084" max="16084" customWidth="1" width="9.140625"/>
    <col min="16085" max="16085" customWidth="1" width="9.140625"/>
    <col min="16086" max="16086" customWidth="1" width="9.140625"/>
    <col min="16087" max="16087" customWidth="1" width="9.140625"/>
    <col min="16088" max="16088" customWidth="1" width="9.140625"/>
    <col min="16089" max="16089" customWidth="1" width="9.140625"/>
    <col min="16090" max="16090" customWidth="1" width="9.140625"/>
    <col min="16091" max="16091" customWidth="1" width="9.140625"/>
    <col min="16092" max="16092" customWidth="1" width="9.140625"/>
    <col min="16093" max="16093" customWidth="1" width="9.140625"/>
    <col min="16094" max="16094" customWidth="1" width="9.140625"/>
    <col min="16095" max="16095" customWidth="1" width="9.140625"/>
    <col min="16096" max="16096" customWidth="1" width="9.140625"/>
    <col min="16097" max="16097" customWidth="1" width="9.140625"/>
    <col min="16098" max="16098" customWidth="1" width="9.140625"/>
    <col min="16099" max="16099" customWidth="1" width="9.140625"/>
    <col min="16100" max="16100" customWidth="1" width="9.140625"/>
    <col min="16101" max="16101" customWidth="1" width="9.140625"/>
    <col min="16102" max="16102" customWidth="1" width="9.140625"/>
    <col min="16103" max="16103" customWidth="1" width="9.140625"/>
    <col min="16104" max="16104" customWidth="1" width="9.140625"/>
    <col min="16105" max="16105" customWidth="1" width="9.140625"/>
    <col min="16106" max="16106" customWidth="1" width="9.140625"/>
    <col min="16107" max="16107" customWidth="1" width="9.140625"/>
    <col min="16108" max="16108" customWidth="1" width="9.140625"/>
    <col min="16109" max="16109" customWidth="1" width="9.140625"/>
    <col min="16110" max="16110" customWidth="1" width="9.140625"/>
    <col min="16111" max="16111" customWidth="1" width="9.140625"/>
    <col min="16112" max="16112" customWidth="1" width="9.140625"/>
    <col min="16113" max="16113" customWidth="1" width="9.140625"/>
    <col min="16114" max="16114" customWidth="1" width="9.140625"/>
    <col min="16115" max="16115" customWidth="1" width="9.140625"/>
    <col min="16116" max="16116" customWidth="1" width="9.140625"/>
    <col min="16117" max="16117" customWidth="1" width="9.140625"/>
    <col min="16118" max="16118" customWidth="1" width="9.140625"/>
    <col min="16119" max="16119" customWidth="1" width="9.140625"/>
    <col min="16120" max="16120" customWidth="1" width="9.140625"/>
    <col min="16121" max="16121" customWidth="1" width="9.140625"/>
    <col min="16122" max="16122" customWidth="1" width="9.140625"/>
    <col min="16123" max="16123" customWidth="1" width="9.140625"/>
    <col min="16124" max="16124" customWidth="1" width="9.140625"/>
    <col min="16125" max="16125" customWidth="1" width="9.140625"/>
    <col min="16126" max="16126" customWidth="1" width="9.140625"/>
    <col min="16127" max="16127" customWidth="1" width="9.140625"/>
    <col min="16128" max="16128" customWidth="1" width="9.140625"/>
    <col min="16129" max="16129" customWidth="1" width="9.140625"/>
    <col min="16130" max="16130" customWidth="1" width="9.140625"/>
    <col min="16131" max="16131" customWidth="1" width="9.140625"/>
    <col min="16132" max="16132" customWidth="1" width="9.140625"/>
    <col min="16133" max="16133" customWidth="1" width="9.140625"/>
    <col min="16134" max="16134" customWidth="1" width="9.140625"/>
    <col min="16135" max="16135" customWidth="1" width="9.140625"/>
    <col min="16136" max="16136" customWidth="1" width="9.140625"/>
    <col min="16137" max="16137" customWidth="1" width="9.140625"/>
    <col min="16138" max="16138" customWidth="1" width="9.140625"/>
    <col min="16139" max="16139" customWidth="1" width="9.140625"/>
    <col min="16140" max="16140" customWidth="1" width="9.140625"/>
    <col min="16141" max="16141" customWidth="1" width="9.140625"/>
    <col min="16142" max="16142" customWidth="1" width="9.140625"/>
    <col min="16143" max="16143" customWidth="1" width="9.140625"/>
    <col min="16144" max="16144" customWidth="1" width="9.140625"/>
    <col min="16145" max="16145" customWidth="1" width="9.140625"/>
    <col min="16146" max="16146" customWidth="1" width="9.140625"/>
    <col min="16147" max="16147" customWidth="1" width="9.140625"/>
    <col min="16148" max="16148" customWidth="1" width="9.140625"/>
    <col min="16149" max="16149" customWidth="1" width="9.140625"/>
    <col min="16150" max="16150" customWidth="1" width="9.140625"/>
    <col min="16151" max="16151" customWidth="1" width="9.140625"/>
    <col min="16152" max="16152" customWidth="1" width="9.140625"/>
    <col min="16153" max="16153" customWidth="1" width="9.140625"/>
    <col min="16154" max="16154" customWidth="1" width="9.140625"/>
    <col min="16155" max="16155" customWidth="1" width="9.140625"/>
    <col min="16156" max="16156" customWidth="1" width="9.140625"/>
    <col min="16157" max="16157" customWidth="1" width="9.140625"/>
    <col min="16158" max="16158" customWidth="1" width="9.140625"/>
    <col min="16159" max="16159" customWidth="1" width="9.140625"/>
    <col min="16160" max="16160" customWidth="1" width="9.140625"/>
    <col min="16161" max="16161" customWidth="1" width="9.140625"/>
    <col min="16162" max="16162" customWidth="1" width="9.140625"/>
    <col min="16163" max="16163" customWidth="1" width="9.140625"/>
    <col min="16164" max="16164" customWidth="1" width="9.140625"/>
    <col min="16165" max="16165" customWidth="1" width="9.140625"/>
    <col min="16166" max="16166" customWidth="1" width="9.140625"/>
    <col min="16167" max="16167" customWidth="1" width="9.140625"/>
    <col min="16168" max="16168" customWidth="1" width="9.140625"/>
    <col min="16169" max="16169" customWidth="1" width="9.140625"/>
    <col min="16170" max="16170" customWidth="1" width="9.140625"/>
    <col min="16171" max="16171" customWidth="1" width="9.140625"/>
    <col min="16172" max="16172" customWidth="1" width="9.140625"/>
    <col min="16173" max="16173" customWidth="1" width="9.140625"/>
    <col min="16174" max="16174" customWidth="1" width="9.140625"/>
    <col min="16175" max="16175" customWidth="1" width="9.140625"/>
    <col min="16176" max="16176" customWidth="1" width="9.140625"/>
    <col min="16177" max="16177" customWidth="1" width="9.140625"/>
    <col min="16178" max="16178" customWidth="1" width="9.140625"/>
    <col min="16179" max="16179" customWidth="1" width="9.140625"/>
    <col min="16180" max="16180" customWidth="1" width="9.140625"/>
    <col min="16181" max="16181" customWidth="1" width="9.140625"/>
    <col min="16182" max="16182" customWidth="1" width="9.140625"/>
    <col min="16183" max="16183" customWidth="1" width="9.140625"/>
    <col min="16184" max="16184" customWidth="1" width="9.140625"/>
    <col min="16185" max="16185" customWidth="1" width="9.140625"/>
    <col min="16186" max="16186" customWidth="1" width="9.140625"/>
    <col min="16187" max="16187" customWidth="1" width="9.140625"/>
    <col min="16188" max="16188" customWidth="1" width="9.140625"/>
    <col min="16189" max="16189" customWidth="1" width="9.140625"/>
    <col min="16190" max="16190" customWidth="1" width="9.140625"/>
    <col min="16191" max="16191" customWidth="1" width="9.140625"/>
    <col min="16192" max="16192" customWidth="1" width="9.140625"/>
    <col min="16193" max="16193" customWidth="1" width="9.140625"/>
    <col min="16194" max="16194" customWidth="1" width="9.140625"/>
    <col min="16195" max="16195" customWidth="1" width="9.140625"/>
    <col min="16196" max="16196" customWidth="1" width="9.140625"/>
    <col min="16197" max="16197" customWidth="1" width="9.140625"/>
    <col min="16198" max="16198" customWidth="1" width="9.140625"/>
    <col min="16199" max="16199" customWidth="1" width="9.140625"/>
    <col min="16200" max="16200" customWidth="1" width="9.140625"/>
    <col min="16201" max="16201" customWidth="1" width="9.140625"/>
    <col min="16202" max="16202" customWidth="1" width="9.140625"/>
    <col min="16203" max="16203" customWidth="1" width="9.140625"/>
    <col min="16204" max="16204" customWidth="1" width="9.140625"/>
    <col min="16205" max="16205" customWidth="1" width="9.140625"/>
    <col min="16206" max="16206" customWidth="1" width="9.140625"/>
    <col min="16207" max="16207" customWidth="1" width="9.140625"/>
    <col min="16208" max="16208" customWidth="1" width="9.140625"/>
    <col min="16209" max="16209" customWidth="1" width="9.140625"/>
    <col min="16210" max="16210" customWidth="1" width="9.140625"/>
    <col min="16211" max="16211" customWidth="1" width="9.140625"/>
    <col min="16212" max="16212" customWidth="1" width="9.140625"/>
    <col min="16213" max="16213" customWidth="1" width="9.140625"/>
    <col min="16214" max="16214" customWidth="1" width="9.140625"/>
    <col min="16215" max="16215" customWidth="1" width="9.140625"/>
    <col min="16216" max="16216" customWidth="1" width="9.140625"/>
    <col min="16217" max="16217" customWidth="1" width="9.140625"/>
    <col min="16218" max="16218" customWidth="1" width="9.140625"/>
    <col min="16219" max="16219" customWidth="1" width="9.140625"/>
    <col min="16220" max="16220" customWidth="1" width="9.140625"/>
    <col min="16221" max="16221" customWidth="1" width="9.140625"/>
    <col min="16222" max="16222" customWidth="1" width="9.140625"/>
    <col min="16223" max="16223" customWidth="1" width="9.140625"/>
    <col min="16224" max="16224" customWidth="1" width="9.140625"/>
    <col min="16225" max="16225" customWidth="1" width="9.140625"/>
    <col min="16226" max="16226" customWidth="1" width="9.140625"/>
    <col min="16227" max="16227" customWidth="1" width="9.140625"/>
    <col min="16228" max="16228" customWidth="1" width="9.140625"/>
    <col min="16229" max="16229" customWidth="1" width="9.140625"/>
    <col min="16230" max="16230" customWidth="1" width="9.140625"/>
    <col min="16231" max="16231" customWidth="1" width="9.140625"/>
    <col min="16232" max="16232" customWidth="1" width="9.140625"/>
    <col min="16233" max="16233" customWidth="1" width="9.140625"/>
    <col min="16234" max="16234" customWidth="1" width="9.140625"/>
    <col min="16235" max="16235" customWidth="1" width="9.140625"/>
    <col min="16236" max="16236" customWidth="1" width="9.140625"/>
    <col min="16237" max="16237" customWidth="1" width="9.140625"/>
    <col min="16238" max="16238" customWidth="1" width="9.140625"/>
    <col min="16239" max="16239" customWidth="1" width="9.140625"/>
    <col min="16240" max="16240" customWidth="1" width="9.140625"/>
    <col min="16241" max="16241" customWidth="1" width="9.140625"/>
    <col min="16242" max="16242" customWidth="1" width="9.140625"/>
    <col min="16243" max="16243" customWidth="1" width="9.140625"/>
    <col min="16244" max="16244" customWidth="1" width="9.140625"/>
    <col min="16245" max="16245" customWidth="1" width="9.140625"/>
    <col min="16246" max="16246" customWidth="1" width="9.140625"/>
    <col min="16247" max="16247" customWidth="1" width="9.140625"/>
    <col min="16248" max="16248" customWidth="1" width="9.140625"/>
    <col min="16249" max="16249" customWidth="1" width="9.140625"/>
    <col min="16250" max="16250" customWidth="1" width="9.140625"/>
    <col min="16251" max="16251" customWidth="1" width="9.140625"/>
    <col min="16252" max="16252" customWidth="1" width="9.140625"/>
    <col min="16253" max="16253" customWidth="1" width="9.140625"/>
    <col min="16254" max="16254" customWidth="1" width="9.140625"/>
    <col min="16255" max="16255" customWidth="1" width="9.140625"/>
    <col min="16256" max="16256" customWidth="1" width="9.140625"/>
    <col min="16257" max="16257" customWidth="1" width="9.140625"/>
    <col min="16258" max="16258" customWidth="1" width="9.140625"/>
    <col min="16259" max="16259" customWidth="1" width="9.140625"/>
    <col min="16260" max="16260" customWidth="1" width="9.140625"/>
    <col min="16261" max="16261" customWidth="1" width="9.140625"/>
    <col min="16262" max="16262" customWidth="1" width="9.140625"/>
    <col min="16263" max="16263" customWidth="1" width="9.140625"/>
    <col min="16264" max="16264" customWidth="1" width="9.140625"/>
    <col min="16265" max="16265" customWidth="1" width="9.140625"/>
    <col min="16266" max="16266" customWidth="1" width="9.140625"/>
    <col min="16267" max="16267" customWidth="1" width="9.140625"/>
    <col min="16268" max="16268" customWidth="1" width="9.140625"/>
    <col min="16269" max="16269" customWidth="1" width="9.140625"/>
    <col min="16270" max="16270" customWidth="1" width="9.140625"/>
    <col min="16271" max="16271" customWidth="1" width="9.140625"/>
    <col min="16272" max="16272" customWidth="1" width="9.140625"/>
    <col min="16273" max="16273" customWidth="1" width="9.140625"/>
    <col min="16274" max="16274" customWidth="1" width="9.140625"/>
    <col min="16275" max="16275" customWidth="1" width="9.140625"/>
    <col min="16276" max="16276" customWidth="1" width="9.140625"/>
    <col min="16277" max="16277" customWidth="1" width="9.140625"/>
    <col min="16278" max="16278" customWidth="1" width="9.140625"/>
    <col min="16279" max="16279" customWidth="1" width="9.140625"/>
    <col min="16280" max="16280" customWidth="1" width="9.140625"/>
    <col min="16281" max="16281" customWidth="1" width="9.140625"/>
    <col min="16282" max="16282" customWidth="1" width="9.140625"/>
    <col min="16283" max="16283" customWidth="1" width="9.140625"/>
    <col min="16284" max="16284" customWidth="1" width="9.140625"/>
    <col min="16285" max="16285" customWidth="1" width="9.140625"/>
    <col min="16286" max="16286" customWidth="1" width="9.140625"/>
    <col min="16287" max="16287" customWidth="1" width="9.140625"/>
    <col min="16288" max="16288" customWidth="1" width="9.140625"/>
    <col min="16289" max="16289" customWidth="1" width="9.140625"/>
    <col min="16290" max="16290" customWidth="1" width="9.140625"/>
    <col min="16291" max="16291" customWidth="1" width="9.140625"/>
    <col min="16292" max="16292" customWidth="1" width="9.140625"/>
    <col min="16293" max="16293" customWidth="1" width="9.140625"/>
    <col min="16294" max="16294" customWidth="1" width="9.140625"/>
    <col min="16295" max="16295" customWidth="1" width="9.140625"/>
    <col min="16296" max="16296" customWidth="1" width="9.140625"/>
    <col min="16297" max="16297" customWidth="1" width="9.140625"/>
    <col min="16298" max="16298" customWidth="1" width="9.140625"/>
    <col min="16299" max="16299" customWidth="1" width="9.140625"/>
    <col min="16300" max="16300" customWidth="1" width="9.140625"/>
    <col min="16301" max="16301" customWidth="1" width="9.140625"/>
    <col min="16302" max="16302" customWidth="1" width="9.140625"/>
    <col min="16303" max="16303" customWidth="1" width="9.140625"/>
    <col min="16304" max="16304" customWidth="1" width="9.140625"/>
    <col min="16305" max="16305" customWidth="1" width="9.140625"/>
    <col min="16306" max="16306" customWidth="1" width="9.140625"/>
    <col min="16307" max="16307" customWidth="1" width="9.140625"/>
    <col min="16308" max="16308" customWidth="1" width="9.140625"/>
    <col min="16309" max="16309" customWidth="1" width="9.140625"/>
    <col min="16310" max="16310" customWidth="1" width="9.140625"/>
    <col min="16311" max="16311" customWidth="1" width="9.140625"/>
    <col min="16312" max="16312" customWidth="1" width="9.140625"/>
    <col min="16313" max="16313" customWidth="1" width="9.140625"/>
    <col min="16314" max="16314" customWidth="1" width="9.140625"/>
    <col min="16315" max="16315" customWidth="1" width="9.140625"/>
    <col min="16316" max="16316" customWidth="1" width="9.140625"/>
    <col min="16317" max="16317" customWidth="1" width="9.140625"/>
    <col min="16318" max="16318" customWidth="1" width="9.140625"/>
    <col min="16319" max="16319" customWidth="1" width="9.140625"/>
    <col min="16320" max="16320" customWidth="1" width="9.140625"/>
    <col min="16321" max="16321" customWidth="1" width="9.140625"/>
    <col min="16322" max="16322" customWidth="1" width="9.140625"/>
    <col min="16323" max="16323" customWidth="1" width="9.140625"/>
    <col min="16324" max="16324" customWidth="1" width="9.140625"/>
    <col min="16325" max="16325" customWidth="1" width="9.140625"/>
    <col min="16326" max="16326" customWidth="1" width="9.140625"/>
    <col min="16327" max="16327" customWidth="1" width="9.140625"/>
    <col min="16328" max="16328" customWidth="1" width="9.140625"/>
    <col min="16329" max="16329" customWidth="1" width="9.140625"/>
    <col min="16330" max="16330" customWidth="1" width="9.140625"/>
    <col min="16331" max="16331" customWidth="1" width="9.140625"/>
    <col min="16332" max="16332" customWidth="1" width="9.140625"/>
    <col min="16333" max="16333" customWidth="1" width="9.140625"/>
    <col min="16334" max="16334" customWidth="1" width="9.140625"/>
    <col min="16335" max="16335" customWidth="1" width="9.140625"/>
    <col min="16336" max="16336" customWidth="1" width="9.140625"/>
    <col min="16337" max="16337" customWidth="1" width="9.140625"/>
    <col min="16338" max="16338" customWidth="1" width="9.140625"/>
    <col min="16339" max="16339" customWidth="1" width="9.140625"/>
    <col min="16340" max="16340" customWidth="1" width="9.140625"/>
    <col min="16341" max="16341" customWidth="1" width="9.140625"/>
    <col min="16342" max="16342" customWidth="1" width="9.140625"/>
    <col min="16343" max="16343" customWidth="1" width="9.140625"/>
    <col min="16344" max="16344" customWidth="1" width="9.140625"/>
    <col min="16345" max="16345" customWidth="1" width="9.140625"/>
    <col min="16346" max="16346" customWidth="1" width="9.140625"/>
    <col min="16347" max="16347" customWidth="1" width="9.140625"/>
    <col min="16348" max="16348" customWidth="1" width="9.140625"/>
    <col min="16349" max="16349" customWidth="1" width="9.140625"/>
    <col min="16350" max="16350" customWidth="1" width="9.140625"/>
    <col min="16351" max="16351" customWidth="1" width="9.140625"/>
    <col min="16352" max="16352" customWidth="1" width="9.140625"/>
    <col min="16353" max="16353" customWidth="1" width="9.140625"/>
    <col min="16354" max="16354" customWidth="1" width="9.140625"/>
    <col min="16355" max="16355" customWidth="1" width="9.140625"/>
    <col min="16356" max="16356" customWidth="1" width="9.140625"/>
    <col min="16357" max="16357" customWidth="1" width="9.140625"/>
    <col min="16358" max="16358" customWidth="1" width="9.140625"/>
    <col min="16359" max="16359" customWidth="1" width="9.140625"/>
    <col min="16360" max="16360" customWidth="1" width="9.140625"/>
    <col min="16361" max="16361" customWidth="1" width="9.140625"/>
    <col min="16362" max="16362" customWidth="1" width="9.140625"/>
    <col min="16363" max="16363" customWidth="1" width="9.140625"/>
    <col min="16364" max="16364" customWidth="1" width="9.140625"/>
    <col min="16365" max="16365" customWidth="1" width="9.140625"/>
    <col min="16366" max="16366" customWidth="1" width="9.140625"/>
    <col min="16367" max="16367" customWidth="1" width="9.140625"/>
    <col min="16368" max="16368" customWidth="1" width="9.140625"/>
    <col min="16369" max="16369" customWidth="1" width="9.140625"/>
    <col min="16370" max="16370" customWidth="1" width="9.140625"/>
    <col min="16371" max="16371" customWidth="1" width="9.140625"/>
    <col min="16372" max="16372" customWidth="1" width="9.140625"/>
    <col min="16373" max="16373" customWidth="1" width="9.140625"/>
    <col min="16374" max="16374" customWidth="1" width="9.140625"/>
    <col min="16375" max="16375" customWidth="1" width="9.140625"/>
    <col min="16376" max="16376" customWidth="1" width="9.140625"/>
    <col min="16377" max="16377" customWidth="1" width="9.140625"/>
    <col min="16378" max="16378" customWidth="1" width="9.140625"/>
    <col min="16379" max="16379" customWidth="1" width="9.140625"/>
    <col min="16380" max="16380" customWidth="1" width="9.140625"/>
    <col min="16381" max="16381" customWidth="1" width="9.140625"/>
    <col min="16382" max="16382" customWidth="1" width="9.140625"/>
    <col min="16383" max="16383" customWidth="1" width="9.140625"/>
    <col min="16384" max="16384" customWidth="1" width="9.140625"/>
  </cols>
  <sheetData>
    <row r="1">
      <c r="A1" t="s">
        <v>1535</v>
      </c>
    </row>
    <row r="2" ht="16.5" customHeight="1">
      <c r="A2" t="s">
        <v>1461</v>
      </c>
    </row>
    <row r="3" ht="16.5" customHeight="1">
      <c r="B3" t="s">
        <v>0</v>
      </c>
    </row>
    <row r="4"/>
    <row r="5">
      <c r="A5" t="s">
        <v>1475</v>
      </c>
      <c r="B5" t="s">
        <v>4</v>
      </c>
      <c r="C5" t="s">
        <v>4</v>
      </c>
      <c r="D5" t="s">
        <v>1536</v>
      </c>
    </row>
    <row r="6"/>
    <row r="7">
      <c r="C7" t="s">
        <v>1537</v>
      </c>
    </row>
    <row r="8"/>
    <row r="9">
      <c r="C9" t="s">
        <v>1538</v>
      </c>
    </row>
    <row r="10" ht="135" customHeight="1">
      <c r="A10">
        <v>1</v>
      </c>
      <c r="B10" t="s">
        <v>1539</v>
      </c>
      <c r="C10" t="s">
        <v>1480</v>
      </c>
    </row>
    <row r="11" ht="30" customHeight="1">
      <c r="A11">
        <v>1</v>
      </c>
      <c r="B11" t="s">
        <v>1539</v>
      </c>
      <c r="C11" t="s">
        <v>1540</v>
      </c>
    </row>
    <row r="12">
      <c r="C12" t="s">
        <v>296</v>
      </c>
      <c r="D12">
        <v>11</v>
      </c>
      <c r="E12" s="1">
        <v>16.62496433541477</v>
      </c>
      <c r="F12" s="1">
        <v>4.33</v>
      </c>
      <c r="G12" s="1">
        <v>0.8</v>
      </c>
      <c r="H12" s="1">
        <v>633.4776410366444</v>
      </c>
      <c r="I12" s="1" t="s">
        <v>1484</v>
      </c>
    </row>
    <row r="13">
      <c r="C13" t="s">
        <v>1541</v>
      </c>
      <c r="D13">
        <v>2</v>
      </c>
      <c r="E13" s="1">
        <v>14.3</v>
      </c>
      <c r="F13" s="1">
        <v>6.75</v>
      </c>
      <c r="G13" s="1">
        <v>0.8</v>
      </c>
      <c r="H13" s="1">
        <v>154.44000000000003</v>
      </c>
      <c r="I13" s="1" t="s">
        <v>1484</v>
      </c>
    </row>
    <row r="14">
      <c r="G14" s="1" t="s">
        <v>1542</v>
      </c>
      <c r="H14" s="1">
        <v>787.9176410366445</v>
      </c>
      <c r="I14" s="1" t="s">
        <v>1484</v>
      </c>
    </row>
    <row r="15"/>
    <row r="16" ht="180" customHeight="1">
      <c r="A16">
        <v>2</v>
      </c>
      <c r="B16" t="s">
        <v>1543</v>
      </c>
      <c r="C16" t="s">
        <v>1544</v>
      </c>
    </row>
    <row r="17">
      <c r="C17" t="s">
        <v>1545</v>
      </c>
      <c r="D17">
        <v>11</v>
      </c>
      <c r="E17" s="1">
        <v>16.62496433541477</v>
      </c>
      <c r="F17" s="1">
        <v>4.33</v>
      </c>
      <c r="G17" s="1">
        <v>1</v>
      </c>
      <c r="H17" s="1">
        <v>791.8470512958055</v>
      </c>
      <c r="I17" s="1" t="s">
        <v>1484</v>
      </c>
    </row>
    <row r="18">
      <c r="C18" t="s">
        <v>1541</v>
      </c>
      <c r="D18">
        <v>2</v>
      </c>
      <c r="E18" s="1">
        <v>14.3</v>
      </c>
      <c r="F18" s="1">
        <v>6.75</v>
      </c>
      <c r="G18" s="1">
        <v>1</v>
      </c>
      <c r="H18" s="1">
        <v>193.05</v>
      </c>
      <c r="I18" s="1" t="s">
        <v>1484</v>
      </c>
    </row>
    <row r="19">
      <c r="G19" s="1" t="s">
        <v>1542</v>
      </c>
      <c r="H19" s="1">
        <v>984.8970512958056</v>
      </c>
      <c r="I19" s="1" t="s">
        <v>1484</v>
      </c>
    </row>
    <row r="20"/>
    <row r="21" ht="180" customHeight="1">
      <c r="A21">
        <v>3</v>
      </c>
      <c r="B21" t="s">
        <v>1546</v>
      </c>
      <c r="C21" t="s">
        <v>1547</v>
      </c>
    </row>
    <row r="22">
      <c r="C22" t="s">
        <v>1545</v>
      </c>
      <c r="D22">
        <v>11</v>
      </c>
      <c r="E22" s="1">
        <v>16.62496433541477</v>
      </c>
      <c r="F22" s="1">
        <v>4.33</v>
      </c>
      <c r="G22" s="1">
        <v>1.8</v>
      </c>
      <c r="H22" s="1">
        <v>1425.32469233245</v>
      </c>
      <c r="I22" s="1" t="s">
        <v>1484</v>
      </c>
    </row>
    <row r="23">
      <c r="C23" t="s">
        <v>1541</v>
      </c>
      <c r="D23">
        <v>2</v>
      </c>
      <c r="E23" s="1">
        <v>14.3</v>
      </c>
      <c r="F23" s="1">
        <v>6.75</v>
      </c>
      <c r="G23" s="1">
        <v>1.8</v>
      </c>
      <c r="H23" s="1">
        <v>347.49</v>
      </c>
      <c r="I23" s="1" t="s">
        <v>1484</v>
      </c>
    </row>
    <row r="24">
      <c r="C24" t="s">
        <v>1548</v>
      </c>
      <c r="D24">
        <v>12</v>
      </c>
      <c r="E24" s="1">
        <v>12.5</v>
      </c>
      <c r="F24" s="1">
        <v>1</v>
      </c>
      <c r="G24" s="1">
        <v>1</v>
      </c>
      <c r="H24" s="1">
        <v>150</v>
      </c>
      <c r="I24" s="1" t="s">
        <v>1484</v>
      </c>
    </row>
    <row r="25">
      <c r="C25" t="s">
        <v>1549</v>
      </c>
      <c r="D25">
        <v>12</v>
      </c>
      <c r="E25" s="1">
        <v>12.5</v>
      </c>
      <c r="F25" s="1">
        <v>1</v>
      </c>
      <c r="G25" s="1">
        <v>1</v>
      </c>
      <c r="H25" s="1">
        <v>150</v>
      </c>
      <c r="I25" s="1" t="s">
        <v>1484</v>
      </c>
    </row>
    <row r="26">
      <c r="G26" s="1" t="s">
        <v>1542</v>
      </c>
      <c r="H26" s="1">
        <v>2072.8146923324502</v>
      </c>
      <c r="I26" s="1" t="s">
        <v>1484</v>
      </c>
    </row>
    <row r="27"/>
    <row r="28" ht="165" customHeight="1">
      <c r="A28">
        <v>4</v>
      </c>
      <c r="B28" t="s">
        <v>1550</v>
      </c>
      <c r="C28" t="s">
        <v>1551</v>
      </c>
    </row>
    <row r="29">
      <c r="C29" t="s">
        <v>1545</v>
      </c>
      <c r="D29">
        <v>11</v>
      </c>
      <c r="E29" s="1">
        <v>16.62496433541477</v>
      </c>
      <c r="F29" s="1">
        <v>4.33</v>
      </c>
      <c r="G29" s="1">
        <v>1.8</v>
      </c>
      <c r="H29" s="1">
        <v>1425.32469233245</v>
      </c>
      <c r="I29" s="1" t="s">
        <v>1484</v>
      </c>
    </row>
    <row r="30">
      <c r="C30" t="s">
        <v>1541</v>
      </c>
      <c r="D30">
        <v>2</v>
      </c>
      <c r="E30" s="1">
        <v>14.3</v>
      </c>
      <c r="F30" s="1">
        <v>6.75</v>
      </c>
      <c r="G30" s="1">
        <v>1.8</v>
      </c>
      <c r="H30" s="1">
        <v>347.49</v>
      </c>
      <c r="I30" s="1" t="s">
        <v>1484</v>
      </c>
    </row>
    <row r="31">
      <c r="C31" t="s">
        <v>1548</v>
      </c>
      <c r="D31">
        <v>12</v>
      </c>
      <c r="E31" s="1">
        <v>12.5</v>
      </c>
      <c r="F31" s="1">
        <v>1</v>
      </c>
      <c r="G31" s="1">
        <v>1</v>
      </c>
      <c r="H31" s="1">
        <v>150</v>
      </c>
      <c r="I31" s="1" t="s">
        <v>1484</v>
      </c>
    </row>
    <row r="32">
      <c r="C32" t="s">
        <v>1549</v>
      </c>
      <c r="D32">
        <v>12</v>
      </c>
      <c r="E32" s="1">
        <v>12.5</v>
      </c>
      <c r="F32" s="1">
        <v>1</v>
      </c>
      <c r="G32" s="1">
        <v>1</v>
      </c>
      <c r="H32" s="1">
        <v>150</v>
      </c>
      <c r="I32" s="1" t="s">
        <v>1484</v>
      </c>
    </row>
    <row r="33">
      <c r="G33" s="1" t="s">
        <v>1542</v>
      </c>
      <c r="H33" s="1">
        <v>2072.8146923324502</v>
      </c>
      <c r="I33" s="1" t="s">
        <v>1484</v>
      </c>
    </row>
    <row r="34"/>
    <row r="35" ht="120" customHeight="1">
      <c r="A35">
        <v>5</v>
      </c>
      <c r="B35" t="s">
        <v>1552</v>
      </c>
      <c r="C35" t="s">
        <v>1553</v>
      </c>
    </row>
    <row r="36">
      <c r="C36" t="s">
        <v>296</v>
      </c>
      <c r="D36">
        <v>11</v>
      </c>
      <c r="E36" s="1">
        <v>16.62496433541477</v>
      </c>
      <c r="F36" s="1">
        <v>4.33</v>
      </c>
      <c r="G36" s="1">
        <v>1.8</v>
      </c>
      <c r="H36" s="1">
        <v>1425.32469233245</v>
      </c>
      <c r="I36" s="1" t="s">
        <v>1484</v>
      </c>
    </row>
    <row r="37">
      <c r="C37" t="s">
        <v>1541</v>
      </c>
      <c r="D37">
        <v>2</v>
      </c>
      <c r="E37" s="1">
        <v>14</v>
      </c>
      <c r="F37" s="1">
        <v>6.75</v>
      </c>
      <c r="G37" s="1">
        <v>1.8</v>
      </c>
      <c r="H37" s="1">
        <v>340.2</v>
      </c>
      <c r="I37" s="1" t="s">
        <v>1484</v>
      </c>
    </row>
    <row r="38">
      <c r="C38" t="s">
        <v>1554</v>
      </c>
      <c r="D38">
        <v>11</v>
      </c>
      <c r="E38" s="1">
        <v>41.909928670829544</v>
      </c>
      <c r="F38" s="1">
        <v>0.3</v>
      </c>
      <c r="G38" s="1">
        <v>1.8</v>
      </c>
      <c r="H38" s="1">
        <v>248.94497630472748</v>
      </c>
      <c r="I38" s="1" t="s">
        <v>1484</v>
      </c>
    </row>
    <row r="39">
      <c r="D39">
        <v>2</v>
      </c>
      <c r="E39" s="1">
        <v>42.1</v>
      </c>
      <c r="F39" s="1">
        <v>0.3</v>
      </c>
      <c r="G39" s="1">
        <v>1.3</v>
      </c>
      <c r="H39" s="1">
        <v>32.838</v>
      </c>
      <c r="I39" s="1" t="s">
        <v>1484</v>
      </c>
    </row>
    <row r="40">
      <c r="H40" s="1">
        <v>2047.3076686371776</v>
      </c>
      <c r="I40" s="1" t="s">
        <v>1484</v>
      </c>
    </row>
    <row r="41">
      <c r="C41" t="s">
        <v>1555</v>
      </c>
    </row>
    <row r="42"/>
    <row r="43">
      <c r="C43" t="s">
        <v>1556</v>
      </c>
      <c r="D43">
        <v>11</v>
      </c>
      <c r="E43" s="1">
        <v>16.32496433541477</v>
      </c>
      <c r="F43" s="1">
        <v>4.0048000000000075</v>
      </c>
      <c r="G43" s="1">
        <v>1</v>
      </c>
      <c r="H43" s="1">
        <v>719.1603888751612</v>
      </c>
      <c r="I43" s="1" t="s">
        <v>1484</v>
      </c>
    </row>
    <row r="44">
      <c r="C44" t="s">
        <v>1557</v>
      </c>
      <c r="D44">
        <v>2</v>
      </c>
      <c r="E44" s="1">
        <v>14</v>
      </c>
      <c r="F44" s="1">
        <v>5.1</v>
      </c>
      <c r="G44" s="1">
        <v>1</v>
      </c>
      <c r="H44" s="1">
        <v>142.79999999999998</v>
      </c>
      <c r="I44" s="1" t="s">
        <v>1484</v>
      </c>
    </row>
    <row r="45">
      <c r="H45" s="1">
        <v>861.9603888751611</v>
      </c>
      <c r="I45" s="1" t="s">
        <v>1484</v>
      </c>
    </row>
    <row r="46"/>
    <row r="47">
      <c r="G47" s="1" t="s">
        <v>1558</v>
      </c>
      <c r="H47" s="1">
        <v>1185.3472797620166</v>
      </c>
      <c r="I47" s="1" t="s">
        <v>1484</v>
      </c>
    </row>
    <row r="48"/>
    <row r="49" ht="120" customHeight="1">
      <c r="A49">
        <v>6</v>
      </c>
      <c r="B49" t="s">
        <v>1559</v>
      </c>
      <c r="C49" t="s">
        <v>1560</v>
      </c>
    </row>
    <row r="50">
      <c r="C50" t="s">
        <v>296</v>
      </c>
      <c r="D50">
        <v>11</v>
      </c>
      <c r="E50" s="1">
        <v>16.62496433541477</v>
      </c>
      <c r="F50" s="1">
        <v>4.304800000000007</v>
      </c>
      <c r="G50" s="1">
        <v>0.3</v>
      </c>
      <c r="H50" s="1">
        <v>236.17158335460897</v>
      </c>
      <c r="I50" s="1" t="s">
        <v>1484</v>
      </c>
    </row>
    <row r="51">
      <c r="C51" t="s">
        <v>1561</v>
      </c>
      <c r="D51">
        <v>2</v>
      </c>
      <c r="E51" s="1">
        <v>14.3</v>
      </c>
      <c r="F51" s="1">
        <v>5.3999999999999995</v>
      </c>
      <c r="G51" s="1">
        <v>0.3</v>
      </c>
      <c r="H51" s="1">
        <v>46.332</v>
      </c>
      <c r="I51" s="1" t="s">
        <v>1484</v>
      </c>
    </row>
    <row r="52"/>
    <row r="53">
      <c r="G53" s="1" t="s">
        <v>1542</v>
      </c>
      <c r="H53" s="1">
        <v>282.50358335460896</v>
      </c>
      <c r="I53" s="1" t="s">
        <v>1484</v>
      </c>
    </row>
    <row r="54"/>
    <row r="55" ht="120" customHeight="1">
      <c r="A55">
        <v>7</v>
      </c>
      <c r="B55" t="s">
        <v>1562</v>
      </c>
      <c r="C55" t="s">
        <v>1563</v>
      </c>
    </row>
    <row r="56">
      <c r="C56" t="s">
        <v>296</v>
      </c>
      <c r="D56">
        <v>11</v>
      </c>
      <c r="E56" s="1">
        <v>16.32496433541477</v>
      </c>
      <c r="F56" s="1">
        <v>4.0048000000000075</v>
      </c>
      <c r="G56" s="1">
        <v>1</v>
      </c>
      <c r="H56" s="1">
        <v>719.1603888751612</v>
      </c>
      <c r="I56" s="1" t="s">
        <v>1484</v>
      </c>
    </row>
    <row r="57">
      <c r="C57" t="s">
        <v>1564</v>
      </c>
      <c r="D57">
        <v>2</v>
      </c>
      <c r="E57" s="1">
        <v>14</v>
      </c>
      <c r="F57" s="1">
        <v>5.1</v>
      </c>
      <c r="G57" s="1">
        <v>1</v>
      </c>
      <c r="H57" s="1">
        <v>142.79999999999998</v>
      </c>
      <c r="I57" s="1" t="s">
        <v>1484</v>
      </c>
    </row>
    <row r="58">
      <c r="C58" t="s">
        <v>1565</v>
      </c>
      <c r="D58">
        <v>11</v>
      </c>
      <c r="E58" s="1">
        <v>12.5</v>
      </c>
      <c r="F58" s="1">
        <v>3</v>
      </c>
      <c r="G58" s="1">
        <v>0.3</v>
      </c>
      <c r="H58" s="1">
        <v>123.75</v>
      </c>
      <c r="I58" s="1" t="s">
        <v>1484</v>
      </c>
    </row>
    <row r="59">
      <c r="C59" t="s">
        <v>1566</v>
      </c>
      <c r="D59">
        <v>11</v>
      </c>
      <c r="E59" s="1">
        <v>12.5</v>
      </c>
      <c r="F59" s="1">
        <v>5</v>
      </c>
      <c r="G59" s="1">
        <v>0.3</v>
      </c>
      <c r="H59" s="1">
        <v>206.25</v>
      </c>
      <c r="I59" s="1" t="s">
        <v>1484</v>
      </c>
    </row>
    <row r="60">
      <c r="G60" s="1" t="s">
        <v>1542</v>
      </c>
      <c r="H60" s="1">
        <v>1191.9603888751612</v>
      </c>
      <c r="I60" s="1" t="s">
        <v>1484</v>
      </c>
    </row>
    <row r="61"/>
    <row r="62" ht="75" customHeight="1">
      <c r="A62">
        <v>8</v>
      </c>
      <c r="B62" t="s">
        <v>1567</v>
      </c>
      <c r="C62" t="s">
        <v>1568</v>
      </c>
    </row>
    <row r="63">
      <c r="C63" t="s">
        <v>1569</v>
      </c>
      <c r="D63" s="8">
        <v>0.015</v>
      </c>
      <c r="E63" s="1">
        <v>1191.9603888751612</v>
      </c>
      <c r="F63" s="1">
        <v>7850</v>
      </c>
      <c r="H63" s="1">
        <v>140.35333579005024</v>
      </c>
      <c r="I63" s="1" t="s">
        <v>888</v>
      </c>
    </row>
    <row r="64"/>
    <row r="65"/>
    <row r="66">
      <c r="C66" t="s">
        <v>1570</v>
      </c>
    </row>
    <row r="67"/>
    <row r="68" ht="120" customHeight="1">
      <c r="A68">
        <v>9</v>
      </c>
      <c r="B68" t="s">
        <v>1571</v>
      </c>
      <c r="C68" t="s">
        <v>1497</v>
      </c>
    </row>
    <row r="69">
      <c r="C69" t="s">
        <v>1572</v>
      </c>
      <c r="D69">
        <v>11</v>
      </c>
      <c r="E69" s="1">
        <v>12</v>
      </c>
      <c r="F69" s="1">
        <v>1.2</v>
      </c>
      <c r="G69" s="1">
        <v>5.574000000000012</v>
      </c>
      <c r="H69" s="1">
        <v>882.921600000002</v>
      </c>
      <c r="I69" s="1" t="s">
        <v>1484</v>
      </c>
    </row>
    <row r="70">
      <c r="C70" t="s">
        <v>1573</v>
      </c>
      <c r="D70">
        <v>11</v>
      </c>
      <c r="E70" s="2">
        <v>0.785</v>
      </c>
      <c r="F70" s="1">
        <v>1.44</v>
      </c>
      <c r="G70" s="1">
        <v>5.574000000000012</v>
      </c>
      <c r="H70" s="1">
        <v>69.30934560000016</v>
      </c>
      <c r="I70" s="1" t="s">
        <v>1484</v>
      </c>
    </row>
    <row r="71">
      <c r="C71" t="s">
        <v>1574</v>
      </c>
      <c r="D71">
        <v>11</v>
      </c>
      <c r="E71" s="1">
        <v>12</v>
      </c>
      <c r="F71" s="22">
        <v>1.5</v>
      </c>
      <c r="G71" s="1">
        <v>0.3</v>
      </c>
      <c r="H71" s="1">
        <v>59.4</v>
      </c>
      <c r="I71" s="1" t="s">
        <v>1484</v>
      </c>
    </row>
    <row r="72">
      <c r="C72" t="s">
        <v>1575</v>
      </c>
      <c r="D72">
        <v>2</v>
      </c>
      <c r="E72" s="1">
        <v>12</v>
      </c>
      <c r="F72" s="1">
        <v>1.1</v>
      </c>
      <c r="G72" s="1">
        <v>4.4040000000000195</v>
      </c>
      <c r="H72" s="1">
        <v>116.26560000000052</v>
      </c>
      <c r="I72" s="1" t="s">
        <v>1484</v>
      </c>
    </row>
    <row r="73">
      <c r="C73" t="s">
        <v>1576</v>
      </c>
      <c r="D73">
        <v>2</v>
      </c>
      <c r="E73" s="1">
        <v>12</v>
      </c>
      <c r="F73" s="1">
        <v>1</v>
      </c>
      <c r="G73" s="1">
        <v>0.3</v>
      </c>
      <c r="H73" s="1">
        <v>7.199999999999999</v>
      </c>
      <c r="I73" s="1" t="s">
        <v>1484</v>
      </c>
    </row>
    <row r="74">
      <c r="C74" t="s">
        <v>1577</v>
      </c>
      <c r="D74">
        <v>2</v>
      </c>
      <c r="E74" s="1">
        <v>12</v>
      </c>
      <c r="F74" s="1">
        <v>0.3</v>
      </c>
      <c r="G74" s="1">
        <v>0.8</v>
      </c>
      <c r="H74" s="1">
        <v>5.76</v>
      </c>
      <c r="I74" s="1" t="s">
        <v>1484</v>
      </c>
    </row>
    <row r="75">
      <c r="C75" t="s">
        <v>1578</v>
      </c>
      <c r="D75">
        <v>4</v>
      </c>
      <c r="E75" s="1">
        <v>7</v>
      </c>
      <c r="F75" s="22">
        <v>0.5</v>
      </c>
      <c r="G75" s="1">
        <v>1</v>
      </c>
      <c r="H75" s="1">
        <v>14</v>
      </c>
      <c r="I75" s="1" t="s">
        <v>1484</v>
      </c>
    </row>
    <row r="76">
      <c r="C76" t="s">
        <v>1578</v>
      </c>
      <c r="D76">
        <v>4</v>
      </c>
      <c r="E76" s="1">
        <v>7</v>
      </c>
      <c r="F76" s="22">
        <v>1</v>
      </c>
      <c r="G76" s="1">
        <v>1.5</v>
      </c>
      <c r="H76" s="1">
        <v>42</v>
      </c>
      <c r="I76" s="1" t="s">
        <v>1484</v>
      </c>
    </row>
    <row r="77">
      <c r="C77" t="s">
        <v>1578</v>
      </c>
      <c r="D77">
        <v>4</v>
      </c>
      <c r="E77" s="1">
        <v>7</v>
      </c>
      <c r="F77" s="22">
        <v>1.5</v>
      </c>
      <c r="G77" s="1">
        <v>1.5</v>
      </c>
      <c r="H77" s="1">
        <v>63</v>
      </c>
      <c r="I77" s="1" t="s">
        <v>1484</v>
      </c>
    </row>
    <row r="78">
      <c r="C78" t="s">
        <v>1578</v>
      </c>
      <c r="D78">
        <v>4</v>
      </c>
      <c r="E78" s="1">
        <v>7</v>
      </c>
      <c r="F78" s="22">
        <v>2</v>
      </c>
      <c r="G78" s="1">
        <v>1.5</v>
      </c>
      <c r="H78" s="1">
        <v>84</v>
      </c>
      <c r="I78" s="1" t="s">
        <v>1484</v>
      </c>
    </row>
    <row r="79">
      <c r="C79" t="s">
        <v>1578</v>
      </c>
      <c r="D79">
        <v>4</v>
      </c>
      <c r="E79" s="1">
        <v>7</v>
      </c>
      <c r="F79" s="22">
        <v>2.5</v>
      </c>
      <c r="G79" s="1">
        <v>1.5</v>
      </c>
      <c r="H79" s="1">
        <v>105</v>
      </c>
      <c r="I79" s="1" t="s">
        <v>1484</v>
      </c>
    </row>
    <row r="80">
      <c r="G80" s="1" t="s">
        <v>1542</v>
      </c>
      <c r="H80" s="1">
        <v>1448.8565456000026</v>
      </c>
      <c r="I80" s="1" t="s">
        <v>1484</v>
      </c>
    </row>
    <row r="81"/>
    <row r="82" ht="45" customHeight="1">
      <c r="A82">
        <v>10</v>
      </c>
      <c r="B82" t="s">
        <v>1579</v>
      </c>
      <c r="C82" t="s">
        <v>1580</v>
      </c>
    </row>
    <row r="83">
      <c r="C83" t="s">
        <v>1581</v>
      </c>
      <c r="D83" s="8">
        <v>0.0145</v>
      </c>
      <c r="E83" s="1">
        <v>1448.8565456000026</v>
      </c>
      <c r="F83" s="1">
        <v>7850</v>
      </c>
      <c r="H83" s="1">
        <v>164.91609630292032</v>
      </c>
      <c r="I83" s="1" t="s">
        <v>888</v>
      </c>
    </row>
    <row r="84"/>
    <row r="85" ht="90" customHeight="1">
      <c r="A85">
        <v>11</v>
      </c>
      <c r="B85" t="s">
        <v>1582</v>
      </c>
      <c r="C85" t="s">
        <v>1583</v>
      </c>
    </row>
    <row r="86">
      <c r="C86" t="s">
        <v>1584</v>
      </c>
      <c r="D86">
        <v>2</v>
      </c>
      <c r="E86" s="1">
        <v>48</v>
      </c>
      <c r="F86" s="1">
        <v>0.95</v>
      </c>
      <c r="H86" s="1">
        <v>91.19999999999999</v>
      </c>
      <c r="I86" s="1" t="s">
        <v>1585</v>
      </c>
    </row>
    <row r="87">
      <c r="C87" t="s">
        <v>1578</v>
      </c>
      <c r="D87">
        <v>4</v>
      </c>
      <c r="E87" s="1">
        <v>42</v>
      </c>
      <c r="F87" s="1">
        <v>0.65</v>
      </c>
      <c r="H87" s="1">
        <v>109.2</v>
      </c>
      <c r="I87" s="1" t="s">
        <v>1585</v>
      </c>
    </row>
    <row r="88">
      <c r="G88" s="1" t="s">
        <v>1542</v>
      </c>
      <c r="H88" s="1">
        <v>200.39999999999998</v>
      </c>
      <c r="I88" s="1" t="s">
        <v>1585</v>
      </c>
    </row>
    <row r="89"/>
    <row r="90" ht="90" customHeight="1">
      <c r="A90">
        <v>12</v>
      </c>
      <c r="B90" t="s">
        <v>1586</v>
      </c>
      <c r="C90" t="s">
        <v>1502</v>
      </c>
    </row>
    <row r="91">
      <c r="C91" t="s">
        <v>1584</v>
      </c>
      <c r="D91">
        <v>2</v>
      </c>
      <c r="E91" s="1">
        <v>7</v>
      </c>
      <c r="F91" s="1">
        <v>12</v>
      </c>
      <c r="G91" s="1">
        <v>2.9</v>
      </c>
      <c r="H91" s="1">
        <v>487.2</v>
      </c>
      <c r="I91" s="1" t="s">
        <v>1484</v>
      </c>
    </row>
    <row r="92"/>
    <row r="93" ht="60" customHeight="1">
      <c r="A93">
        <v>13</v>
      </c>
      <c r="B93" t="s">
        <v>1587</v>
      </c>
      <c r="C93" t="s">
        <v>1588</v>
      </c>
    </row>
    <row r="94">
      <c r="C94" t="s">
        <v>1589</v>
      </c>
      <c r="D94">
        <v>2</v>
      </c>
      <c r="E94" s="1">
        <v>12</v>
      </c>
      <c r="F94" s="1">
        <v>0.6</v>
      </c>
      <c r="G94" s="1">
        <v>2.9</v>
      </c>
      <c r="H94" s="1">
        <v>41.76</v>
      </c>
      <c r="I94" s="1" t="s">
        <v>1484</v>
      </c>
    </row>
    <row r="95">
      <c r="C95" t="s">
        <v>1590</v>
      </c>
      <c r="D95">
        <v>4</v>
      </c>
      <c r="E95" s="1">
        <v>6</v>
      </c>
      <c r="F95" s="1">
        <v>0.6</v>
      </c>
      <c r="G95" s="1">
        <v>2.9</v>
      </c>
      <c r="H95" s="1">
        <v>41.76</v>
      </c>
      <c r="I95" s="1" t="s">
        <v>1484</v>
      </c>
    </row>
    <row r="96">
      <c r="G96" s="1" t="s">
        <v>1542</v>
      </c>
      <c r="H96" s="1">
        <v>83.52</v>
      </c>
      <c r="I96" s="1" t="s">
        <v>1484</v>
      </c>
    </row>
    <row r="97"/>
    <row r="98">
      <c r="C98" t="s">
        <v>1591</v>
      </c>
    </row>
    <row r="99" ht="135" customHeight="1">
      <c r="A99">
        <v>14</v>
      </c>
      <c r="B99" t="s">
        <v>1592</v>
      </c>
      <c r="C99" t="s">
        <v>1593</v>
      </c>
    </row>
    <row r="100">
      <c r="C100" t="s">
        <v>1594</v>
      </c>
      <c r="D100">
        <v>12</v>
      </c>
      <c r="E100" s="1">
        <v>12.930664820130508</v>
      </c>
      <c r="F100" s="1">
        <v>12</v>
      </c>
      <c r="G100" s="1">
        <v>0.8500000000000001</v>
      </c>
      <c r="H100" s="1">
        <v>1582.7133739839742</v>
      </c>
      <c r="I100" s="1" t="s">
        <v>1484</v>
      </c>
    </row>
    <row r="101">
      <c r="C101" t="s">
        <v>1595</v>
      </c>
      <c r="D101">
        <v>12</v>
      </c>
      <c r="E101" s="1">
        <v>12</v>
      </c>
      <c r="F101" s="3" t="s">
        <v>1596</v>
      </c>
      <c r="H101" s="1">
        <v>81</v>
      </c>
      <c r="I101" s="1" t="s">
        <v>1484</v>
      </c>
    </row>
    <row r="102" ht="30" customHeight="1">
      <c r="C102" t="s">
        <v>1597</v>
      </c>
      <c r="D102">
        <v>216</v>
      </c>
      <c r="E102" s="1">
        <v>0.3</v>
      </c>
      <c r="F102" s="3">
        <v>0.2</v>
      </c>
      <c r="G102" s="1">
        <v>0.3</v>
      </c>
      <c r="H102" s="1">
        <v>36.449999999999996</v>
      </c>
      <c r="I102" s="1" t="s">
        <v>1484</v>
      </c>
    </row>
    <row r="103">
      <c r="H103" s="1">
        <v>1700.1633739839742</v>
      </c>
      <c r="I103" s="1" t="s">
        <v>1484</v>
      </c>
    </row>
    <row r="104"/>
    <row r="105" ht="60" customHeight="1">
      <c r="A105">
        <v>15</v>
      </c>
      <c r="B105" t="s">
        <v>1598</v>
      </c>
      <c r="C105" t="s">
        <v>1599</v>
      </c>
    </row>
    <row r="106">
      <c r="C106" t="s">
        <v>1569</v>
      </c>
      <c r="D106" s="8">
        <v>0.015</v>
      </c>
      <c r="E106" s="1">
        <v>1700.1633739839742</v>
      </c>
      <c r="F106" s="1">
        <v>7850</v>
      </c>
      <c r="H106" s="1">
        <v>200.19423728661297</v>
      </c>
      <c r="I106" s="1" t="s">
        <v>888</v>
      </c>
    </row>
    <row r="107">
      <c r="C107" t="s">
        <v>1600</v>
      </c>
      <c r="D107">
        <v>408</v>
      </c>
      <c r="E107">
        <v>2.25</v>
      </c>
      <c r="F107">
        <v>3.85</v>
      </c>
      <c r="H107" s="1">
        <v>3.53</v>
      </c>
      <c r="I107" s="1" t="s">
        <v>888</v>
      </c>
    </row>
    <row r="108">
      <c r="H108" s="1">
        <v>203.72423728661298</v>
      </c>
      <c r="I108" s="1" t="s">
        <v>888</v>
      </c>
    </row>
    <row r="109"/>
    <row r="110" ht="75" customHeight="1">
      <c r="A110">
        <v>16</v>
      </c>
      <c r="B110" t="s">
        <v>1601</v>
      </c>
      <c r="C110" t="s">
        <v>1602</v>
      </c>
    </row>
    <row r="111">
      <c r="C111" t="s">
        <v>1603</v>
      </c>
      <c r="D111">
        <v>12</v>
      </c>
      <c r="E111" s="1">
        <v>12.930664820130508</v>
      </c>
      <c r="F111" s="1">
        <v>12</v>
      </c>
      <c r="G111" s="2">
        <v>0.075</v>
      </c>
      <c r="H111" s="1">
        <v>139.65118005740948</v>
      </c>
      <c r="I111" s="1" t="s">
        <v>1484</v>
      </c>
    </row>
    <row r="112"/>
    <row r="113" ht="60" customHeight="1">
      <c r="A113">
        <v>17</v>
      </c>
      <c r="B113" t="s">
        <v>1604</v>
      </c>
      <c r="C113" t="s">
        <v>1605</v>
      </c>
    </row>
    <row r="114">
      <c r="D114">
        <v>2</v>
      </c>
      <c r="E114" s="1">
        <v>7.2</v>
      </c>
      <c r="F114" s="1">
        <v>3.5</v>
      </c>
      <c r="G114" s="1">
        <v>0.15</v>
      </c>
      <c r="H114" s="1">
        <v>7.56</v>
      </c>
      <c r="I114" s="1" t="s">
        <v>1484</v>
      </c>
    </row>
    <row r="115"/>
    <row r="116" ht="75" customHeight="1">
      <c r="A116">
        <v>18</v>
      </c>
      <c r="B116" t="s">
        <v>1606</v>
      </c>
      <c r="C116" t="s">
        <v>1607</v>
      </c>
    </row>
    <row r="117">
      <c r="C117" t="s">
        <v>1608</v>
      </c>
      <c r="D117">
        <v>2</v>
      </c>
      <c r="E117" s="1">
        <v>12.93</v>
      </c>
      <c r="F117" s="1">
        <v>3.5</v>
      </c>
      <c r="G117" s="1">
        <v>0.3</v>
      </c>
      <c r="H117" s="1">
        <v>27.152999999999995</v>
      </c>
      <c r="I117" s="1" t="s">
        <v>1484</v>
      </c>
    </row>
    <row r="118"/>
    <row r="119" ht="75" customHeight="1">
      <c r="A119">
        <v>19</v>
      </c>
      <c r="B119" t="s">
        <v>1609</v>
      </c>
      <c r="C119" t="s">
        <v>1610</v>
      </c>
    </row>
    <row r="120">
      <c r="C120" t="s">
        <v>1611</v>
      </c>
      <c r="D120">
        <v>12</v>
      </c>
      <c r="E120" s="1">
        <v>12.930664820130508</v>
      </c>
      <c r="F120" s="1">
        <v>0.8500000000000001</v>
      </c>
      <c r="H120" s="1">
        <v>131.89278116533117</v>
      </c>
      <c r="I120" s="1" t="s">
        <v>202</v>
      </c>
    </row>
    <row r="121">
      <c r="C121" t="s">
        <v>1612</v>
      </c>
      <c r="D121">
        <v>4</v>
      </c>
      <c r="E121" s="1" t="s">
        <v>1613</v>
      </c>
      <c r="H121" s="1">
        <v>25.6</v>
      </c>
      <c r="I121" s="1" t="s">
        <v>202</v>
      </c>
    </row>
    <row r="122">
      <c r="H122" s="1">
        <v>157.49278116533117</v>
      </c>
      <c r="I122" s="1" t="s">
        <v>202</v>
      </c>
    </row>
    <row r="123"/>
    <row r="124" ht="120" customHeight="1">
      <c r="A124">
        <v>20</v>
      </c>
      <c r="B124" t="s">
        <v>1614</v>
      </c>
      <c r="C124" t="s">
        <v>1511</v>
      </c>
    </row>
    <row r="125">
      <c r="C125" t="s">
        <v>1615</v>
      </c>
      <c r="D125">
        <v>11</v>
      </c>
      <c r="E125" s="1">
        <v>1.2</v>
      </c>
      <c r="F125" s="1">
        <v>12</v>
      </c>
      <c r="H125" s="1">
        <v>158.39999999999998</v>
      </c>
      <c r="I125" s="1" t="s">
        <v>202</v>
      </c>
    </row>
    <row r="126">
      <c r="C126" t="s">
        <v>1589</v>
      </c>
      <c r="D126">
        <v>2</v>
      </c>
      <c r="E126" s="1">
        <v>1</v>
      </c>
      <c r="F126" s="1">
        <v>12</v>
      </c>
      <c r="H126" s="1">
        <v>24</v>
      </c>
      <c r="I126" s="1" t="s">
        <v>202</v>
      </c>
    </row>
    <row r="127">
      <c r="G127" s="1" t="s">
        <v>1542</v>
      </c>
      <c r="H127" s="1">
        <v>182.39999999999998</v>
      </c>
      <c r="I127" s="1" t="s">
        <v>202</v>
      </c>
    </row>
    <row r="128"/>
    <row r="129">
      <c r="C129" t="s">
        <v>1616</v>
      </c>
    </row>
    <row r="130"/>
    <row r="131" ht="90" customHeight="1">
      <c r="A131">
        <v>21</v>
      </c>
      <c r="C131" t="s">
        <v>1617</v>
      </c>
    </row>
    <row r="132">
      <c r="C132" s="1" t="s">
        <v>1618</v>
      </c>
      <c r="E132" s="1">
        <v>3389</v>
      </c>
      <c r="F132" s="1" t="s">
        <v>1484</v>
      </c>
    </row>
    <row r="133">
      <c r="G133" t="s">
        <v>1619</v>
      </c>
      <c r="H133" s="1">
        <v>2033.3999999999999</v>
      </c>
      <c r="I133" s="1" t="s">
        <v>1484</v>
      </c>
    </row>
    <row r="134"/>
    <row r="135" ht="60" customHeight="1">
      <c r="A135">
        <v>22</v>
      </c>
      <c r="C135" t="s">
        <v>1620</v>
      </c>
    </row>
    <row r="136">
      <c r="G136" t="s">
        <v>1621</v>
      </c>
      <c r="H136" s="1">
        <v>1355.6000000000001</v>
      </c>
      <c r="I136" s="1" t="s">
        <v>1484</v>
      </c>
    </row>
    <row r="137"/>
    <row r="138" ht="180" customHeight="1">
      <c r="A138">
        <v>23</v>
      </c>
      <c r="B138" t="s">
        <v>1539</v>
      </c>
      <c r="C138" t="s">
        <v>1622</v>
      </c>
    </row>
    <row r="139">
      <c r="C139" t="s">
        <v>1623</v>
      </c>
      <c r="D139">
        <v>4</v>
      </c>
      <c r="E139" s="1">
        <v>75</v>
      </c>
      <c r="F139" s="1">
        <v>3.5</v>
      </c>
      <c r="G139" s="1">
        <v>2</v>
      </c>
      <c r="H139" s="1">
        <v>2100</v>
      </c>
      <c r="I139" s="1" t="s">
        <v>1484</v>
      </c>
      <c r="L139" s="1">
        <v>115829505</v>
      </c>
    </row>
    <row r="140"/>
    <row r="141" ht="180" customHeight="1">
      <c r="A141">
        <v>24</v>
      </c>
      <c r="B141" t="s">
        <v>1546</v>
      </c>
      <c r="C141" t="s">
        <v>1547</v>
      </c>
    </row>
    <row r="142">
      <c r="C142" t="s">
        <v>1623</v>
      </c>
      <c r="D142">
        <v>4</v>
      </c>
      <c r="E142" s="1">
        <v>75</v>
      </c>
      <c r="F142" s="1">
        <v>3.5</v>
      </c>
      <c r="G142" s="1">
        <v>1</v>
      </c>
      <c r="H142" s="1">
        <v>1610</v>
      </c>
      <c r="I142" s="1" t="s">
        <v>1484</v>
      </c>
    </row>
    <row r="143"/>
    <row r="144" ht="120" customHeight="1">
      <c r="A144">
        <v>25</v>
      </c>
      <c r="B144" t="s">
        <v>1559</v>
      </c>
      <c r="C144" t="s">
        <v>1560</v>
      </c>
    </row>
    <row r="145">
      <c r="C145" t="s">
        <v>1623</v>
      </c>
      <c r="D145">
        <v>4</v>
      </c>
      <c r="E145" s="1">
        <v>75</v>
      </c>
      <c r="F145" s="1">
        <v>3.5</v>
      </c>
      <c r="G145" s="1">
        <v>0.15</v>
      </c>
      <c r="H145" s="1">
        <v>157.5</v>
      </c>
      <c r="I145" s="1" t="s">
        <v>1484</v>
      </c>
    </row>
    <row r="146">
      <c r="C146" t="s">
        <v>1548</v>
      </c>
      <c r="D146">
        <v>12</v>
      </c>
      <c r="E146" s="1">
        <v>12.5</v>
      </c>
      <c r="F146" s="1">
        <v>1</v>
      </c>
      <c r="G146" s="1">
        <v>0.3</v>
      </c>
      <c r="H146" s="1">
        <v>45</v>
      </c>
      <c r="I146" s="1" t="s">
        <v>1484</v>
      </c>
    </row>
    <row r="147">
      <c r="C147" t="s">
        <v>1548</v>
      </c>
      <c r="D147">
        <v>12</v>
      </c>
      <c r="E147" s="1">
        <v>12.5</v>
      </c>
      <c r="F147" s="1">
        <v>0.7</v>
      </c>
      <c r="G147" s="1">
        <v>0.7</v>
      </c>
      <c r="H147" s="1">
        <v>73.5</v>
      </c>
      <c r="I147" s="1" t="s">
        <v>1484</v>
      </c>
    </row>
    <row r="148">
      <c r="C148" t="s">
        <v>1549</v>
      </c>
      <c r="D148">
        <v>12</v>
      </c>
      <c r="E148" s="1">
        <v>12.5</v>
      </c>
      <c r="F148" s="1">
        <v>1</v>
      </c>
      <c r="G148" s="1">
        <v>0.3</v>
      </c>
      <c r="H148" s="1">
        <v>45</v>
      </c>
      <c r="I148" s="1" t="s">
        <v>1484</v>
      </c>
    </row>
    <row r="149">
      <c r="C149" t="s">
        <v>1549</v>
      </c>
      <c r="D149">
        <v>12</v>
      </c>
      <c r="E149" s="1">
        <v>12.5</v>
      </c>
      <c r="F149" s="1">
        <v>0.7</v>
      </c>
      <c r="G149" s="1">
        <v>0.7</v>
      </c>
      <c r="H149" s="1">
        <v>73.5</v>
      </c>
      <c r="I149" s="1" t="s">
        <v>1484</v>
      </c>
    </row>
    <row r="150">
      <c r="G150" s="1" t="s">
        <v>1542</v>
      </c>
      <c r="H150" s="1">
        <v>394.5</v>
      </c>
      <c r="I150" s="1" t="s">
        <v>1484</v>
      </c>
    </row>
    <row r="151"/>
    <row r="152" ht="120" customHeight="1">
      <c r="A152">
        <v>26</v>
      </c>
      <c r="B152" t="s">
        <v>1562</v>
      </c>
      <c r="C152" t="s">
        <v>1563</v>
      </c>
    </row>
    <row r="153">
      <c r="C153" t="s">
        <v>1623</v>
      </c>
      <c r="D153">
        <v>4</v>
      </c>
      <c r="E153" s="1">
        <v>75</v>
      </c>
      <c r="F153" s="1">
        <v>3.1</v>
      </c>
      <c r="G153" s="1">
        <v>0.4</v>
      </c>
      <c r="H153" s="1">
        <v>372</v>
      </c>
      <c r="I153" s="1" t="s">
        <v>1484</v>
      </c>
    </row>
    <row r="154"/>
    <row r="155" ht="75" customHeight="1">
      <c r="A155">
        <v>27</v>
      </c>
      <c r="B155" t="s">
        <v>1567</v>
      </c>
      <c r="C155" t="s">
        <v>1568</v>
      </c>
    </row>
    <row r="156">
      <c r="C156" t="s">
        <v>1569</v>
      </c>
      <c r="D156" s="8">
        <v>0.015</v>
      </c>
      <c r="E156" s="1">
        <v>372</v>
      </c>
      <c r="F156" s="1">
        <v>7850</v>
      </c>
      <c r="H156" s="1">
        <v>43.803</v>
      </c>
      <c r="I156" s="1" t="s">
        <v>888</v>
      </c>
    </row>
    <row r="157"/>
    <row r="158" ht="120" customHeight="1">
      <c r="A158">
        <v>28</v>
      </c>
      <c r="B158" t="s">
        <v>1571</v>
      </c>
      <c r="C158" t="s">
        <v>1497</v>
      </c>
      <c r="F158" s="1" t="s">
        <v>1624</v>
      </c>
    </row>
    <row r="159">
      <c r="C159" t="s">
        <v>1623</v>
      </c>
      <c r="D159">
        <v>4</v>
      </c>
      <c r="E159" s="1">
        <v>75</v>
      </c>
      <c r="F159" s="1">
        <v>0.6</v>
      </c>
      <c r="G159" s="1">
        <v>4.5</v>
      </c>
      <c r="H159" s="1">
        <v>810</v>
      </c>
      <c r="I159" s="1" t="s">
        <v>1484</v>
      </c>
    </row>
    <row r="160">
      <c r="H160" s="1">
        <v>810</v>
      </c>
      <c r="I160" s="1" t="s">
        <v>1484</v>
      </c>
    </row>
    <row r="161"/>
    <row r="162" ht="45" customHeight="1">
      <c r="A162">
        <v>29</v>
      </c>
      <c r="B162" t="s">
        <v>1579</v>
      </c>
      <c r="C162" t="s">
        <v>1580</v>
      </c>
    </row>
    <row r="163">
      <c r="C163" t="s">
        <v>1625</v>
      </c>
      <c r="D163" s="8">
        <v>0.015</v>
      </c>
      <c r="E163" s="1">
        <v>810</v>
      </c>
      <c r="F163" s="1">
        <v>7850</v>
      </c>
      <c r="H163" s="1">
        <v>95.3775</v>
      </c>
      <c r="I163" s="1" t="s">
        <v>888</v>
      </c>
    </row>
    <row r="164"/>
    <row r="165"/>
    <row r="166" ht="90" customHeight="1">
      <c r="A166">
        <v>30</v>
      </c>
      <c r="B166" t="s">
        <v>1586</v>
      </c>
      <c r="C166" t="s">
        <v>1502</v>
      </c>
    </row>
    <row r="167">
      <c r="C167" t="s">
        <v>1623</v>
      </c>
      <c r="D167">
        <v>2</v>
      </c>
      <c r="E167" s="1">
        <v>75</v>
      </c>
      <c r="F167" s="1">
        <v>6.5</v>
      </c>
      <c r="G167" s="1">
        <v>1</v>
      </c>
      <c r="H167" s="1">
        <v>975</v>
      </c>
      <c r="I167" s="1" t="s">
        <v>1484</v>
      </c>
    </row>
    <row r="168"/>
    <row r="169"/>
    <row r="170" ht="90" customHeight="1">
      <c r="A170">
        <v>31</v>
      </c>
      <c r="B170" t="s">
        <v>1582</v>
      </c>
      <c r="C170" t="s">
        <v>1583</v>
      </c>
    </row>
    <row r="171">
      <c r="C171" t="s">
        <v>1623</v>
      </c>
      <c r="D171">
        <v>4</v>
      </c>
      <c r="E171" s="1">
        <v>75</v>
      </c>
      <c r="F171">
        <v>2</v>
      </c>
      <c r="G171" s="1">
        <v>0.65</v>
      </c>
      <c r="H171" s="1">
        <v>390</v>
      </c>
      <c r="I171" s="1" t="s">
        <v>1501</v>
      </c>
    </row>
    <row r="172"/>
    <row r="173" ht="60" customHeight="1">
      <c r="A173">
        <v>32</v>
      </c>
      <c r="B173" t="s">
        <v>1587</v>
      </c>
      <c r="C173" t="s">
        <v>1588</v>
      </c>
    </row>
    <row r="174">
      <c r="C174" t="s">
        <v>1623</v>
      </c>
      <c r="D174">
        <v>2</v>
      </c>
      <c r="E174" s="1">
        <v>75</v>
      </c>
      <c r="F174" s="1">
        <v>6.5</v>
      </c>
      <c r="G174" s="1">
        <v>0.5</v>
      </c>
      <c r="H174" s="1">
        <v>487.5</v>
      </c>
      <c r="I174" s="1" t="s">
        <v>1484</v>
      </c>
    </row>
    <row r="175"/>
    <row r="176" ht="60" customHeight="1">
      <c r="A176">
        <v>33</v>
      </c>
      <c r="B176" t="s">
        <v>1604</v>
      </c>
      <c r="C176" t="s">
        <v>1605</v>
      </c>
    </row>
    <row r="177">
      <c r="D177">
        <v>2</v>
      </c>
      <c r="E177" s="1">
        <v>75</v>
      </c>
      <c r="F177" s="1">
        <v>5.5</v>
      </c>
      <c r="G177" s="1">
        <v>0.15</v>
      </c>
      <c r="H177" s="1">
        <v>123.75</v>
      </c>
      <c r="I177" s="1" t="s">
        <v>1484</v>
      </c>
    </row>
    <row r="178"/>
    <row r="179" ht="300" customHeight="1">
      <c r="A179">
        <v>34</v>
      </c>
      <c r="B179" t="s">
        <v>1626</v>
      </c>
      <c r="C179" t="s">
        <v>1627</v>
      </c>
    </row>
    <row r="180">
      <c r="C180" t="s">
        <v>1628</v>
      </c>
      <c r="D180">
        <v>2</v>
      </c>
      <c r="E180" s="1">
        <v>75</v>
      </c>
      <c r="F180" s="1">
        <v>12</v>
      </c>
      <c r="G180" s="1">
        <v>0.2</v>
      </c>
      <c r="H180" s="1">
        <v>360</v>
      </c>
      <c r="I180" s="1" t="s">
        <v>1484</v>
      </c>
    </row>
    <row r="181"/>
    <row r="182" ht="135" customHeight="1">
      <c r="A182">
        <v>35</v>
      </c>
      <c r="B182" t="s">
        <v>1604</v>
      </c>
      <c r="C182" t="s">
        <v>1515</v>
      </c>
    </row>
    <row r="183">
      <c r="D183">
        <v>2</v>
      </c>
      <c r="E183" s="1">
        <v>12</v>
      </c>
      <c r="F183" s="1">
        <v>12.930664820130508</v>
      </c>
      <c r="H183" s="1">
        <v>310.33595568313217</v>
      </c>
      <c r="I183" s="1" t="s">
        <v>92</v>
      </c>
    </row>
    <row r="185" ht="345.75" customHeight="1">
      <c r="A185" s="4">
        <v>36</v>
      </c>
      <c r="B185" t="s">
        <v>1516</v>
      </c>
      <c r="C185" t="s">
        <v>1516</v>
      </c>
      <c r="D185">
        <v>2</v>
      </c>
      <c r="H185">
        <v>2</v>
      </c>
      <c r="I185" t="s">
        <v>238</v>
      </c>
    </row>
    <row r="186" ht="156.75" customHeight="1">
      <c r="A186" s="4">
        <v>37</v>
      </c>
      <c r="B186" t="s">
        <v>1518</v>
      </c>
      <c r="C186" t="s">
        <v>1518</v>
      </c>
      <c r="D186">
        <v>3</v>
      </c>
      <c r="H186">
        <v>3</v>
      </c>
      <c r="I186" t="s">
        <v>238</v>
      </c>
    </row>
    <row r="187" ht="190.5" customHeight="1">
      <c r="A187" s="4">
        <v>38</v>
      </c>
      <c r="B187" t="s">
        <v>1519</v>
      </c>
      <c r="C187" t="s">
        <v>1519</v>
      </c>
      <c r="D187">
        <v>6</v>
      </c>
      <c r="H187">
        <v>6</v>
      </c>
      <c r="I187" t="s">
        <v>238</v>
      </c>
    </row>
    <row r="188" ht="187.5" customHeight="1">
      <c r="A188" s="4">
        <v>39</v>
      </c>
      <c r="B188" t="s">
        <v>1520</v>
      </c>
      <c r="C188" t="s">
        <v>1520</v>
      </c>
      <c r="D188">
        <v>6</v>
      </c>
      <c r="H188">
        <v>6</v>
      </c>
      <c r="I188" t="s">
        <v>238</v>
      </c>
    </row>
    <row r="189" ht="409.5" customHeight="1">
      <c r="A189" s="4">
        <v>40</v>
      </c>
      <c r="B189" t="s">
        <v>1521</v>
      </c>
      <c r="C189" t="s">
        <v>1629</v>
      </c>
      <c r="D189">
        <v>2</v>
      </c>
      <c r="E189">
        <v>200</v>
      </c>
      <c r="H189">
        <v>400</v>
      </c>
      <c r="I189" t="s">
        <v>238</v>
      </c>
    </row>
    <row r="190" ht="171.75" customHeight="1">
      <c r="A190" s="4">
        <v>41</v>
      </c>
      <c r="B190" t="s">
        <v>1522</v>
      </c>
      <c r="C190" t="s">
        <v>1522</v>
      </c>
      <c r="D190">
        <v>2223</v>
      </c>
      <c r="E190">
        <v>1.5</v>
      </c>
      <c r="F190">
        <v>0.15</v>
      </c>
      <c r="H190" s="1">
        <v>500.17499999999995</v>
      </c>
      <c r="I190" t="s">
        <v>1523</v>
      </c>
    </row>
    <row r="191" ht="85.5" customHeight="1">
      <c r="A191" s="4">
        <v>42</v>
      </c>
      <c r="B191" t="s">
        <v>1525</v>
      </c>
      <c r="C191" t="s">
        <v>1525</v>
      </c>
    </row>
    <row r="192" ht="15" customHeight="1">
      <c r="D192">
        <v>4</v>
      </c>
      <c r="E192" s="1">
        <v>30</v>
      </c>
      <c r="F192" s="1">
        <v>4.47213595499958</v>
      </c>
      <c r="G192" s="1">
        <v>0.3</v>
      </c>
      <c r="H192" s="1">
        <v>160.99689437998487</v>
      </c>
      <c r="I192" t="s">
        <v>1526</v>
      </c>
    </row>
    <row r="193" ht="15" customHeight="1"/>
    <row r="194" ht="141" customHeight="1">
      <c r="A194" s="4">
        <v>43</v>
      </c>
      <c r="B194" t="s">
        <v>1528</v>
      </c>
      <c r="C194" t="s">
        <v>1528</v>
      </c>
      <c r="D194">
        <v>4</v>
      </c>
      <c r="E194" s="1">
        <v>30</v>
      </c>
      <c r="F194" s="1">
        <v>4.47213595499958</v>
      </c>
      <c r="G194" s="1">
        <v>0.45</v>
      </c>
      <c r="H194" s="1">
        <v>241.49534156997734</v>
      </c>
      <c r="I194" t="s">
        <v>1526</v>
      </c>
    </row>
    <row r="195" ht="15" customHeight="1">
      <c r="C195" t="s">
        <v>1565</v>
      </c>
      <c r="D195">
        <v>12</v>
      </c>
      <c r="E195" s="1">
        <v>12.5</v>
      </c>
      <c r="F195" s="1">
        <v>3</v>
      </c>
      <c r="G195" s="1">
        <v>0.75</v>
      </c>
      <c r="H195" s="1">
        <v>337.5</v>
      </c>
      <c r="I195" t="s">
        <v>1526</v>
      </c>
    </row>
    <row r="196" ht="15" customHeight="1">
      <c r="C196" t="s">
        <v>1565</v>
      </c>
      <c r="D196">
        <v>12</v>
      </c>
      <c r="E196" s="1">
        <v>12.5</v>
      </c>
      <c r="F196" s="1">
        <v>4</v>
      </c>
      <c r="G196" s="1">
        <v>1</v>
      </c>
      <c r="H196" s="1">
        <v>600</v>
      </c>
      <c r="I196" t="s">
        <v>1526</v>
      </c>
    </row>
    <row r="197" ht="15" customHeight="1">
      <c r="C197" t="s">
        <v>1566</v>
      </c>
      <c r="D197">
        <v>12</v>
      </c>
      <c r="E197" s="1">
        <v>12.5</v>
      </c>
      <c r="F197" s="1">
        <v>5</v>
      </c>
      <c r="G197" s="1">
        <v>0.75</v>
      </c>
      <c r="H197" s="1">
        <v>562.5</v>
      </c>
      <c r="I197" t="s">
        <v>1526</v>
      </c>
    </row>
    <row r="198" ht="15" customHeight="1">
      <c r="C198" t="s">
        <v>1566</v>
      </c>
      <c r="D198">
        <v>12</v>
      </c>
      <c r="E198" s="1">
        <v>12.5</v>
      </c>
      <c r="F198" s="1">
        <v>6</v>
      </c>
      <c r="G198" s="1">
        <v>1</v>
      </c>
      <c r="H198" s="1">
        <v>900</v>
      </c>
      <c r="I198" t="s">
        <v>1526</v>
      </c>
    </row>
    <row r="199">
      <c r="H199" s="1">
        <v>2641.4953415699774</v>
      </c>
      <c r="I199" s="1" t="s">
        <v>1484</v>
      </c>
    </row>
    <row r="200"/>
    <row r="201" ht="84.75" customHeight="1">
      <c r="A201" s="4">
        <v>44</v>
      </c>
      <c r="B201" t="s">
        <v>1529</v>
      </c>
      <c r="C201" t="s">
        <v>1529</v>
      </c>
      <c r="D201">
        <v>2</v>
      </c>
      <c r="E201" s="1">
        <v>15</v>
      </c>
      <c r="H201" s="1">
        <v>30</v>
      </c>
      <c r="I201" t="s">
        <v>1530</v>
      </c>
    </row>
    <row r="202" ht="81.75" customHeight="1">
      <c r="A202" s="4">
        <v>45</v>
      </c>
      <c r="B202" t="s">
        <v>1532</v>
      </c>
      <c r="C202" t="s">
        <v>1532</v>
      </c>
      <c r="D202">
        <v>2</v>
      </c>
      <c r="E202" s="1">
        <v>15</v>
      </c>
      <c r="H202" s="1">
        <v>30</v>
      </c>
      <c r="I202" t="s">
        <v>1530</v>
      </c>
    </row>
    <row r="203" ht="87" customHeight="1">
      <c r="A203" s="4">
        <v>46</v>
      </c>
      <c r="B203" t="s">
        <v>1533</v>
      </c>
      <c r="C203" t="s">
        <v>1533</v>
      </c>
      <c r="D203">
        <v>8</v>
      </c>
      <c r="E203" s="1">
        <v>15</v>
      </c>
      <c r="H203" s="1">
        <v>120</v>
      </c>
      <c r="I203" t="s">
        <v>1530</v>
      </c>
    </row>
    <row r="204" ht="15" customHeight="1"/>
    <row r="205"/>
    <row r="208"/>
    <row r="209"/>
    <row r="210"/>
    <row r="211"/>
    <row r="212"/>
    <row r="213"/>
    <row r="214"/>
    <row r="215"/>
    <row r="216"/>
    <row r="217"/>
    <row r="218"/>
    <row r="219"/>
    <row r="220"/>
    <row r="221"/>
    <row r="222"/>
    <row r="223"/>
    <row r="224"/>
    <row r="225"/>
    <row r="226"/>
    <row r="227"/>
    <row r="228"/>
    <row r="229"/>
    <row r="230"/>
    <row r="231"/>
    <row r="232"/>
    <row r="233"/>
    <row r="234"/>
    <row r="235"/>
    <row r="236"/>
  </sheetData>
  <mergeCells count="4">
    <mergeCell ref="A1:I1"/>
    <mergeCell ref="A2:C2"/>
    <mergeCell ref="B3:I3"/>
    <mergeCell ref="D5:I5"/>
  </mergeCells>
  <pageMargins left="1" right="0.5" top="0.56" bottom="0.44" header="0.3" footer="0.2"/>
  <ignoredErrors>
    <ignoredError numberStoredAsText="1" sqref="A1:R236"/>
  </ignoredErrors>
</worksheet>
</file>

<file path=docProps/app.xml><?xml version="1.0" encoding="utf-8"?>
<Properties xmlns="http://schemas.openxmlformats.org/officeDocument/2006/extended-properties" xmlns:vt="http://schemas.openxmlformats.org/officeDocument/2006/docPropsVTypes">
  <Application>SheetJS</Application>
  <AppVersion>15.0300</AppVersion>
  <DocSecurity>0</DocSecurity>
  <HyperlinksChanged>false</HyperlinksChanged>
  <SharedDoc>false</SharedDoc>
  <LinksUpToDate>false</LinksUpToDate>
  <ScaleCrop>false</ScaleCrop>
  <HeadingPairs>
    <vt:vector size="2" baseType="variant">
      <vt:variant>
        <vt:lpstr>Worksheets</vt:lpstr>
      </vt:variant>
      <vt:variant>
        <vt:i4>46</vt:i4>
      </vt:variant>
    </vt:vector>
  </HeadingPairs>
  <TitlesOfParts>
    <vt:vector size="46" baseType="lpstr">
      <vt:lpstr>INDEX</vt:lpstr>
      <vt:lpstr>INSERT- HYDRAULICS</vt:lpstr>
      <vt:lpstr>afflux calculation</vt:lpstr>
      <vt:lpstr>HYDRAULICS</vt:lpstr>
      <vt:lpstr>Deck Anchorage</vt:lpstr>
      <vt:lpstr>CROSS SECTION</vt:lpstr>
      <vt:lpstr>Bed Slope</vt:lpstr>
      <vt:lpstr>SBC</vt:lpstr>
      <vt:lpstr>STABILITY CHECK FOR PIER</vt:lpstr>
      <vt:lpstr>abstract of stresses</vt:lpstr>
      <vt:lpstr>STEEL IN FLARED  PIER BASE </vt:lpstr>
      <vt:lpstr>STEEL IN PIER</vt:lpstr>
      <vt:lpstr>FOOTING DESIGN</vt:lpstr>
      <vt:lpstr>Footing STRESS DIAGRAM</vt:lpstr>
      <vt:lpstr>Pier Cap LL tracked vehicle</vt:lpstr>
      <vt:lpstr>Pier Cap</vt:lpstr>
      <vt:lpstr>LLOAD</vt:lpstr>
      <vt:lpstr>loadsumm </vt:lpstr>
      <vt:lpstr>LL-ABSTRACT</vt:lpstr>
      <vt:lpstr>TYPE1-AbutMENT Drawing</vt:lpstr>
      <vt:lpstr>TYPE1-STABILITY CHECK ABUTMENT</vt:lpstr>
      <vt:lpstr>TYPE1-ABUTMENT FOOTING DESIGN</vt:lpstr>
      <vt:lpstr>TYPE1- Abut Footing STRESS</vt:lpstr>
      <vt:lpstr>TYPE1-STEEL IN ABUTMENT</vt:lpstr>
      <vt:lpstr>TYPE1-Abutment Cap</vt:lpstr>
      <vt:lpstr>TYPE1-DIRT WALL REINFORCEMENT</vt:lpstr>
      <vt:lpstr>TYPE1-DIRT DirectLoad_BM</vt:lpstr>
      <vt:lpstr>TYPE1-DIRT LL_BM</vt:lpstr>
      <vt:lpstr>TechNote</vt:lpstr>
      <vt:lpstr>INSERT C1-ABUT</vt:lpstr>
      <vt:lpstr>C1-AbutMENT Drawing</vt:lpstr>
      <vt:lpstr>C1-STABILITY CHECK ABUTMENT</vt:lpstr>
      <vt:lpstr>C1-ABUTMENT FOOTING DESIGN</vt:lpstr>
      <vt:lpstr>C1-Abut Footing STRESS DIAGRAM</vt:lpstr>
      <vt:lpstr>CAN-RETURN FOOTING DESIGN</vt:lpstr>
      <vt:lpstr>STEEL IN CANT-ABUTMENT</vt:lpstr>
      <vt:lpstr>STEEL IN CANT-RETURNS</vt:lpstr>
      <vt:lpstr>C1-Abutment Cap</vt:lpstr>
      <vt:lpstr>C1-DIRT WALL REINFORCEMENT</vt:lpstr>
      <vt:lpstr>C1-DIRT DirectLoad_BM</vt:lpstr>
      <vt:lpstr>C1-DIRT LL_BM</vt:lpstr>
      <vt:lpstr>INSERT ESTIMATE</vt:lpstr>
      <vt:lpstr>Tech Report</vt:lpstr>
      <vt:lpstr>General Abs. </vt:lpstr>
      <vt:lpstr>Abstract</vt:lpstr>
      <vt:lpstr>Bridge measurements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2005-05-13T01:57:30Z</dcterms:created>
  <dcterms:modified xsi:type="dcterms:W3CDTF">2025-11-24T14:02:11Z</dcterms:modified>
  <cp:lastModifiedBy>Rajkumar</cp:lastModifiedBy>
  <cp:lastPrinted>2022-04-26T18:03:31Z</cp:lastPrinted>
  <dc:creator>solution</dc:creator>
</cp:coreProperties>
</file>