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<sst xmlns="http://schemas.openxmlformats.org/spreadsheetml/2006/main" count="6995" uniqueCount="1584">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</sst>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25</v>
      </c>
    </row>
    <row r="2" ht="42.75" customHeight="1">
      <c r="A2" t="s">
        <v>26</v>
      </c>
    </row>
    <row r="3" ht="23.25" customHeight="1">
      <c r="A3" t="s">
        <v>27</v>
      </c>
    </row>
    <row r="4" ht="21.75" customHeight="1">
      <c r="A4" t="s">
        <v>28</v>
      </c>
      <c r="C4">
        <v>1</v>
      </c>
      <c r="D4" t="s">
        <v>29</v>
      </c>
    </row>
    <row r="5" ht="15" customHeight="1">
      <c r="A5" t="s">
        <v>30</v>
      </c>
      <c r="B5" t="s">
        <v>31</v>
      </c>
      <c r="C5" t="s">
        <v>32</v>
      </c>
      <c r="F5" t="s">
        <v>33</v>
      </c>
    </row>
    <row r="6" ht="18" customHeight="1">
      <c r="A6" t="s">
        <v>34</v>
      </c>
      <c r="B6" t="s">
        <v>31</v>
      </c>
      <c r="C6" s="1">
        <f>HYDRAULICS!$C$29</f>
        <v>490.3000000000011</v>
      </c>
      <c r="D6" t="s">
        <v>35</v>
      </c>
      <c r="G6" t="s">
        <v>36</v>
      </c>
      <c r="H6" t="s">
        <v>37</v>
      </c>
    </row>
    <row r="7" ht="15" customHeight="1">
      <c r="A7" t="s">
        <v>38</v>
      </c>
      <c r="B7" t="s">
        <v>31</v>
      </c>
      <c r="C7" s="1">
        <f>HYDRAULICS!$C$30</f>
        <v>190.70731489786334</v>
      </c>
      <c r="D7" t="s">
        <v>39</v>
      </c>
      <c r="G7" t="s">
        <v>40</v>
      </c>
      <c r="H7" t="s">
        <v>41</v>
      </c>
    </row>
    <row r="8" ht="15" customHeight="1">
      <c r="A8" t="s">
        <v>42</v>
      </c>
      <c r="B8" t="s">
        <v>31</v>
      </c>
      <c r="C8">
        <v>1</v>
      </c>
      <c r="D8" t="s">
        <v>43</v>
      </c>
      <c r="E8">
        <f>HYDRAULICS!$C$33</f>
        <v>960</v>
      </c>
      <c r="G8" t="s">
        <v>44</v>
      </c>
      <c r="H8" t="s">
        <v>45</v>
      </c>
    </row>
    <row r="9" ht="15" customHeight="1">
      <c r="H9" t="s">
        <v>46</v>
      </c>
    </row>
    <row r="10" ht="15" customHeight="1">
      <c r="A10" t="s">
        <v>47</v>
      </c>
      <c r="B10" t="s">
        <v>31</v>
      </c>
      <c r="C10">
        <f>HYDRAULICS!$C$32</f>
        <v>0.033</v>
      </c>
      <c r="G10" t="s">
        <v>48</v>
      </c>
      <c r="H10" t="s">
        <v>49</v>
      </c>
    </row>
    <row r="11" ht="15" customHeight="1">
      <c r="H11" t="s">
        <v>50</v>
      </c>
    </row>
    <row r="12" ht="15" customHeight="1">
      <c r="A12" t="s">
        <v>51</v>
      </c>
      <c r="B12" t="s">
        <v>31</v>
      </c>
      <c r="C12" t="s">
        <v>52</v>
      </c>
      <c r="G12" t="s">
        <v>53</v>
      </c>
      <c r="H12" t="s">
        <v>54</v>
      </c>
    </row>
    <row r="13" ht="18" customHeight="1">
      <c r="A13" t="s">
        <v>55</v>
      </c>
      <c r="B13" t="s">
        <v>31</v>
      </c>
      <c r="C13">
        <f>ROUNDUP(1/C10*((C6/C7)^(2/3)*(1/E8)^0.5),2)</f>
        <v>1.84</v>
      </c>
      <c r="D13" t="s">
        <v>56</v>
      </c>
    </row>
    <row r="14" ht="15" customHeight="1">
      <c r="A14" t="s">
        <v>30</v>
      </c>
      <c r="B14" t="s">
        <v>31</v>
      </c>
      <c r="C14" s="1">
        <f>ROUND(C6*C13,2)</f>
        <v>902.15</v>
      </c>
      <c r="D14" t="s">
        <v>57</v>
      </c>
    </row>
    <row r="15" ht="21.75" customHeight="1">
      <c r="A15" t="s">
        <v>58</v>
      </c>
    </row>
    <row r="16" ht="15" customHeight="1">
      <c r="A16" t="s">
        <v>59</v>
      </c>
      <c r="C16" t="s">
        <v>60</v>
      </c>
      <c r="D16" t="s">
        <v>61</v>
      </c>
      <c r="E16" t="s">
        <v>62</v>
      </c>
    </row>
    <row r="17" ht="15" customHeight="1">
      <c r="B17" t="s">
        <v>31</v>
      </c>
      <c r="C17">
        <f>ROUNDUP(4.8*(C14)^0.5,2)</f>
        <v>144.17999999999998</v>
      </c>
      <c r="D17" t="s">
        <v>63</v>
      </c>
    </row>
    <row r="18" ht="15" customHeight="1">
      <c r="A18" t="s">
        <v>64</v>
      </c>
      <c r="C18">
        <v>12</v>
      </c>
      <c r="D18" t="s">
        <v>65</v>
      </c>
      <c r="F18">
        <v>8</v>
      </c>
      <c r="G18" t="s">
        <v>66</v>
      </c>
    </row>
    <row r="19" ht="15" customHeight="1">
      <c r="A19" t="s">
        <v>67</v>
      </c>
    </row>
    <row r="20" ht="15" customHeight="1">
      <c r="A20" t="s">
        <v>68</v>
      </c>
      <c r="B20">
        <f>C18</f>
        <v>12</v>
      </c>
      <c r="C20" t="s">
        <v>69</v>
      </c>
      <c r="D20">
        <f>F18</f>
        <v>8</v>
      </c>
      <c r="E20" t="s">
        <v>31</v>
      </c>
      <c r="F20">
        <f>B20*D20</f>
        <v>96</v>
      </c>
      <c r="G20" t="s">
        <v>70</v>
      </c>
    </row>
    <row r="21" ht="15" customHeight="1">
      <c r="E21" t="s">
        <v>71</v>
      </c>
      <c r="F21">
        <f>SUM(F20:F20)</f>
        <v>96</v>
      </c>
      <c r="G21" t="s">
        <v>70</v>
      </c>
    </row>
    <row r="22" ht="21.75" customHeight="1">
      <c r="A22" t="s">
        <v>72</v>
      </c>
    </row>
    <row r="23" ht="15" customHeight="1">
      <c r="A23" t="s">
        <v>73</v>
      </c>
    </row>
    <row r="24" ht="18" customHeight="1">
      <c r="A24" t="s">
        <v>74</v>
      </c>
      <c r="B24" t="s">
        <v>75</v>
      </c>
      <c r="F24" t="s">
        <v>33</v>
      </c>
    </row>
    <row r="25" ht="15" customHeight="1">
      <c r="E25" t="s">
        <v>76</v>
      </c>
      <c r="F25" t="s">
        <v>31</v>
      </c>
      <c r="G25" t="s">
        <v>77</v>
      </c>
    </row>
    <row r="26" ht="15" customHeight="1">
      <c r="E26" t="s">
        <v>78</v>
      </c>
      <c r="F26" t="s">
        <v>31</v>
      </c>
      <c r="G26" t="s">
        <v>79</v>
      </c>
    </row>
    <row r="27" ht="15" customHeight="1">
      <c r="E27" t="s">
        <v>1</v>
      </c>
      <c r="F27" t="s">
        <v>31</v>
      </c>
      <c r="G27">
        <v>1.5</v>
      </c>
    </row>
    <row r="28" ht="15" customHeight="1">
      <c r="A28" t="s">
        <v>80</v>
      </c>
      <c r="B28" t="s">
        <v>31</v>
      </c>
      <c r="C28" t="s">
        <v>81</v>
      </c>
    </row>
    <row r="29" ht="15" customHeight="1">
      <c r="A29" t="s">
        <v>31</v>
      </c>
      <c r="B29" s="1">
        <f>C18*F18-1.2</f>
        <v>94.8</v>
      </c>
      <c r="C29" t="s">
        <v>82</v>
      </c>
      <c r="D29">
        <f>B20-1</f>
        <v>11</v>
      </c>
      <c r="E29" t="s">
        <v>69</v>
      </c>
      <c r="F29">
        <v>1.2</v>
      </c>
      <c r="G29" t="s">
        <v>83</v>
      </c>
    </row>
    <row r="30" ht="15" customHeight="1">
      <c r="A30" t="s">
        <v>31</v>
      </c>
      <c r="B30" s="1">
        <f>B29-(D29*F29)</f>
        <v>81.6</v>
      </c>
      <c r="C30" t="s">
        <v>63</v>
      </c>
    </row>
    <row r="31" ht="15" customHeight="1">
      <c r="A31" t="s">
        <v>76</v>
      </c>
      <c r="B31" t="s">
        <v>84</v>
      </c>
      <c r="C31" s="1">
        <f>ROUND(C14,2)</f>
        <v>902.15</v>
      </c>
      <c r="D31" t="s">
        <v>85</v>
      </c>
      <c r="E31" s="1">
        <f>B30</f>
        <v>81.6</v>
      </c>
    </row>
    <row r="32" ht="15" customHeight="1">
      <c r="B32" t="s">
        <v>31</v>
      </c>
      <c r="C32">
        <f>ROUNDUP(C31/E31,2)</f>
        <v>11.06</v>
      </c>
      <c r="D32" t="s">
        <v>86</v>
      </c>
    </row>
    <row r="33" ht="15" customHeight="1">
      <c r="A33" t="s">
        <v>74</v>
      </c>
      <c r="B33" s="1">
        <f>ROUNDUP(1.34* (C32^2 /G27)^(1/3),2)</f>
        <v>5.819999999999999</v>
      </c>
      <c r="C33" t="s">
        <v>63</v>
      </c>
    </row>
    <row r="34" ht="47.25" customHeight="1">
      <c r="A34" t="s">
        <v>87</v>
      </c>
    </row>
    <row r="35" ht="21.75" customHeight="1">
      <c r="A35" t="s">
        <v>88</v>
      </c>
    </row>
    <row r="36" ht="15" customHeight="1">
      <c r="A36" t="s">
        <v>89</v>
      </c>
    </row>
    <row r="37" ht="15" customHeight="1">
      <c r="A37" t="s">
        <v>90</v>
      </c>
    </row>
    <row r="38" ht="15" customHeight="1">
      <c r="A38" t="s">
        <v>91</v>
      </c>
      <c r="B38" t="s">
        <v>92</v>
      </c>
    </row>
    <row r="39" ht="15" customHeight="1">
      <c r="A39" t="s">
        <v>93</v>
      </c>
    </row>
    <row r="40" ht="15" customHeight="1">
      <c r="A40" t="s">
        <v>94</v>
      </c>
      <c r="B40" t="s">
        <v>31</v>
      </c>
      <c r="C40" t="s">
        <v>95</v>
      </c>
    </row>
    <row r="41" ht="15" customHeight="1">
      <c r="A41" t="s">
        <v>96</v>
      </c>
      <c r="B41" t="s">
        <v>31</v>
      </c>
      <c r="C41" t="s">
        <v>97</v>
      </c>
    </row>
    <row r="42" ht="18" customHeight="1">
      <c r="A42" t="s">
        <v>34</v>
      </c>
      <c r="B42" t="s">
        <v>31</v>
      </c>
      <c r="C42" t="s">
        <v>98</v>
      </c>
    </row>
    <row r="43" ht="18" customHeight="1">
      <c r="A43" t="s">
        <v>99</v>
      </c>
      <c r="B43" t="s">
        <v>31</v>
      </c>
      <c r="C43" t="s">
        <v>100</v>
      </c>
    </row>
    <row r="44" ht="15" customHeight="1">
      <c r="A44" t="s">
        <v>101</v>
      </c>
    </row>
    <row r="45" ht="15" customHeight="1">
      <c r="A45" t="s">
        <v>102</v>
      </c>
      <c r="C45" s="2">
        <f>B52</f>
        <v>94.8</v>
      </c>
      <c r="D45" t="s">
        <v>69</v>
      </c>
      <c r="E45" s="1">
        <f>B50-B59</f>
        <v>5</v>
      </c>
      <c r="F45" t="s">
        <v>31</v>
      </c>
      <c r="G45">
        <f>C45*E45</f>
        <v>474</v>
      </c>
      <c r="H45" t="s">
        <v>35</v>
      </c>
    </row>
    <row r="46" ht="15" customHeight="1">
      <c r="A46" t="s">
        <v>34</v>
      </c>
      <c r="B46" t="s">
        <v>31</v>
      </c>
      <c r="C46" s="1">
        <f>'CROSS SECTION'!F27</f>
        <v>490.3000000000011</v>
      </c>
      <c r="D46" t="s">
        <v>35</v>
      </c>
    </row>
    <row r="47" ht="15" customHeight="1">
      <c r="A47" t="s">
        <v>51</v>
      </c>
      <c r="B47" t="s">
        <v>31</v>
      </c>
      <c r="C47">
        <f>C13</f>
        <v>1.84</v>
      </c>
      <c r="D47" t="s">
        <v>56</v>
      </c>
    </row>
    <row r="48" ht="15.75" customHeight="1">
      <c r="A48" t="s">
        <v>103</v>
      </c>
    </row>
    <row r="49" ht="15" customHeight="1">
      <c r="A49" t="s">
        <v>104</v>
      </c>
      <c r="B49" s="2">
        <f>HYDRAULICS!$F$4</f>
        <v>100.6</v>
      </c>
      <c r="C49" t="s">
        <v>63</v>
      </c>
    </row>
    <row r="50" ht="15" customHeight="1">
      <c r="A50" t="s">
        <v>105</v>
      </c>
      <c r="B50" s="2">
        <f>HYDRAULICS!E40</f>
        <v>101.6</v>
      </c>
      <c r="C50" t="s">
        <v>63</v>
      </c>
    </row>
    <row r="51" ht="15" customHeight="1">
      <c r="A51" t="s">
        <v>106</v>
      </c>
      <c r="B51" s="2">
        <v>0.83</v>
      </c>
      <c r="C51" t="s">
        <v>63</v>
      </c>
    </row>
    <row r="52" ht="15" customHeight="1">
      <c r="A52" t="s">
        <v>107</v>
      </c>
      <c r="B52" s="2">
        <f>B29</f>
        <v>94.8</v>
      </c>
      <c r="C52" t="s">
        <v>63</v>
      </c>
    </row>
    <row r="53" ht="15" customHeight="1">
      <c r="A53" t="s">
        <v>108</v>
      </c>
      <c r="B53" s="2">
        <f>B51</f>
        <v>0.83</v>
      </c>
      <c r="C53" t="s">
        <v>63</v>
      </c>
    </row>
    <row r="54" ht="15" customHeight="1">
      <c r="A54" t="s">
        <v>109</v>
      </c>
      <c r="B54" s="2">
        <f>B52</f>
        <v>94.8</v>
      </c>
      <c r="C54" t="s">
        <v>69</v>
      </c>
      <c r="D54" s="1">
        <f>B53</f>
        <v>0.83</v>
      </c>
    </row>
    <row r="55" ht="15" customHeight="1">
      <c r="B55" t="s">
        <v>31</v>
      </c>
      <c r="C55" s="1">
        <f>B54*D54</f>
        <v>78.684</v>
      </c>
      <c r="D55" t="s">
        <v>35</v>
      </c>
    </row>
    <row r="56" ht="15.75" customHeight="1">
      <c r="A56" t="s">
        <v>110</v>
      </c>
    </row>
    <row r="57" ht="15" customHeight="1">
      <c r="A57" t="s">
        <v>104</v>
      </c>
      <c r="B57" s="2">
        <f>HYDRAULICS!$F$4</f>
        <v>100.6</v>
      </c>
      <c r="C57" t="s">
        <v>63</v>
      </c>
    </row>
    <row r="58" ht="15" customHeight="1">
      <c r="A58" t="s">
        <v>111</v>
      </c>
      <c r="B58" s="2">
        <f>B50-B51</f>
        <v>100.77</v>
      </c>
      <c r="C58" t="s">
        <v>63</v>
      </c>
    </row>
    <row r="59" ht="15" customHeight="1">
      <c r="A59" t="s">
        <v>112</v>
      </c>
      <c r="B59" s="2">
        <f>HYDRAULICS!E41</f>
        <v>96.6</v>
      </c>
      <c r="C59" t="s">
        <v>63</v>
      </c>
    </row>
    <row r="60" ht="15" customHeight="1">
      <c r="A60" t="s">
        <v>113</v>
      </c>
      <c r="B60" t="s">
        <v>31</v>
      </c>
      <c r="C60">
        <f>D29</f>
        <v>11</v>
      </c>
    </row>
    <row r="61" ht="15" customHeight="1">
      <c r="A61" t="s">
        <v>108</v>
      </c>
      <c r="B61" s="2">
        <f>B57</f>
        <v>100.6</v>
      </c>
      <c r="C61" t="s">
        <v>114</v>
      </c>
      <c r="D61" s="2">
        <f>B59</f>
        <v>96.6</v>
      </c>
      <c r="E61" t="s">
        <v>31</v>
      </c>
      <c r="F61" s="2">
        <f>B61-D61</f>
        <v>4</v>
      </c>
      <c r="G61" t="s">
        <v>63</v>
      </c>
    </row>
    <row r="62" ht="15" customHeight="1">
      <c r="A62" t="s">
        <v>115</v>
      </c>
      <c r="B62">
        <f>F29</f>
        <v>1.2</v>
      </c>
      <c r="C62" t="s">
        <v>69</v>
      </c>
      <c r="D62" s="1">
        <f>F61</f>
        <v>4</v>
      </c>
    </row>
    <row r="63" ht="15" customHeight="1">
      <c r="B63" t="s">
        <v>31</v>
      </c>
      <c r="C63">
        <f>B62*D62</f>
        <v>4.8</v>
      </c>
      <c r="D63" t="s">
        <v>35</v>
      </c>
    </row>
    <row r="64" ht="15" customHeight="1">
      <c r="A64" t="s">
        <f>CONCATENATE("For ",C60," Nos. of piers = ")</f>
        <v>116</v>
      </c>
      <c r="B64">
        <f>C60</f>
        <v>11</v>
      </c>
      <c r="C64" t="s">
        <v>69</v>
      </c>
      <c r="D64">
        <f>C63</f>
        <v>4.8</v>
      </c>
    </row>
    <row r="65" ht="15" customHeight="1">
      <c r="A65" t="s">
        <v>117</v>
      </c>
      <c r="B65" t="s">
        <v>31</v>
      </c>
      <c r="C65" s="1">
        <f>B64*D64</f>
        <v>52.8</v>
      </c>
      <c r="D65" t="s">
        <v>35</v>
      </c>
    </row>
    <row r="66" ht="15.75" customHeight="1">
      <c r="A66" t="s">
        <v>118</v>
      </c>
    </row>
    <row r="67" ht="15" customHeight="1">
      <c r="A67" t="s">
        <v>119</v>
      </c>
      <c r="B67" s="2">
        <f>B59</f>
        <v>96.6</v>
      </c>
      <c r="C67" t="s">
        <v>63</v>
      </c>
    </row>
    <row r="68" ht="15" customHeight="1">
      <c r="A68" t="s">
        <v>108</v>
      </c>
      <c r="B68" s="2">
        <f>B57</f>
        <v>100.6</v>
      </c>
      <c r="C68" t="s">
        <v>31</v>
      </c>
      <c r="D68" s="2">
        <f>B67</f>
        <v>96.6</v>
      </c>
      <c r="E68" t="s">
        <v>31</v>
      </c>
      <c r="F68" s="2">
        <f>B68-D68</f>
        <v>4</v>
      </c>
      <c r="G68" t="s">
        <v>63</v>
      </c>
    </row>
    <row r="69" ht="15" customHeight="1">
      <c r="A69" t="s">
        <v>120</v>
      </c>
      <c r="B69" t="s">
        <v>121</v>
      </c>
      <c r="C69" t="s">
        <v>69</v>
      </c>
      <c r="D69" s="1">
        <f>F68</f>
        <v>4</v>
      </c>
    </row>
    <row r="70" ht="15" customHeight="1">
      <c r="B70" t="s">
        <v>31</v>
      </c>
      <c r="C70" s="1">
        <f>(0.4+0.75)/2*D69</f>
        <v>2.3</v>
      </c>
      <c r="D70" t="s">
        <v>35</v>
      </c>
    </row>
    <row r="71" ht="15" customHeight="1">
      <c r="A71" t="s">
        <v>122</v>
      </c>
      <c r="B71">
        <v>2</v>
      </c>
      <c r="C71" t="s">
        <v>69</v>
      </c>
      <c r="D71" s="1">
        <f>C70</f>
        <v>2.3</v>
      </c>
    </row>
    <row r="72" ht="15" customHeight="1">
      <c r="B72" t="s">
        <v>31</v>
      </c>
      <c r="C72" s="1">
        <f>B71*D71</f>
        <v>4.6</v>
      </c>
      <c r="D72" t="s">
        <v>35</v>
      </c>
    </row>
    <row r="73" ht="30" customHeight="1">
      <c r="A73" t="s">
        <v>123</v>
      </c>
      <c r="B73" t="s">
        <v>124</v>
      </c>
      <c r="C73" t="s">
        <v>125</v>
      </c>
    </row>
    <row r="74" ht="15" customHeight="1">
      <c r="B74" t="s">
        <v>31</v>
      </c>
      <c r="C74" s="1">
        <f>C55</f>
        <v>78.684</v>
      </c>
      <c r="D74" t="s">
        <v>126</v>
      </c>
      <c r="E74" s="1">
        <f>C65</f>
        <v>52.8</v>
      </c>
      <c r="F74" t="s">
        <v>126</v>
      </c>
      <c r="G74" s="1">
        <f>C72</f>
        <v>4.6</v>
      </c>
    </row>
    <row r="75" ht="15" customHeight="1">
      <c r="B75" t="s">
        <v>31</v>
      </c>
      <c r="C75" s="1">
        <f>C74+E74+G74</f>
        <v>136.08399999999997</v>
      </c>
      <c r="D75" t="s">
        <v>35</v>
      </c>
    </row>
    <row r="76" ht="15" customHeight="1">
      <c r="A76" t="s">
        <v>127</v>
      </c>
      <c r="B76" s="2">
        <f>G45</f>
        <v>474</v>
      </c>
      <c r="C76" t="s">
        <v>114</v>
      </c>
      <c r="D76" s="1">
        <f>C75</f>
        <v>136.08399999999997</v>
      </c>
    </row>
    <row r="77" ht="15" customHeight="1">
      <c r="B77" t="s">
        <v>31</v>
      </c>
      <c r="C77" s="1">
        <f>B76-D76</f>
        <v>337.91600000000005</v>
      </c>
      <c r="D77" t="s">
        <v>35</v>
      </c>
    </row>
    <row r="78" ht="15" customHeight="1">
      <c r="A78" t="s">
        <v>91</v>
      </c>
      <c r="B78">
        <f>ROUNDUP(((C13^2/17.85)+0.0152)*((C46/C77)^2-1),2)</f>
        <v>0.23</v>
      </c>
      <c r="C78" t="s">
        <v>63</v>
      </c>
    </row>
    <row r="79" ht="15" customHeight="1">
      <c r="A79" t="s">
        <v>128</v>
      </c>
      <c r="B79" s="2">
        <f>B57</f>
        <v>100.6</v>
      </c>
      <c r="C79" t="s">
        <v>126</v>
      </c>
      <c r="D79">
        <f>B78</f>
        <v>0.23</v>
      </c>
      <c r="E79" t="s">
        <v>31</v>
      </c>
      <c r="F79" s="2">
        <f>B79+D79</f>
        <v>100.83</v>
      </c>
      <c r="G79" t="s">
        <v>63</v>
      </c>
    </row>
    <row r="80" ht="15" customHeight="1">
      <c r="A80" t="s">
        <v>129</v>
      </c>
      <c r="B80" t="s">
        <v>51</v>
      </c>
      <c r="C80" t="s">
        <v>31</v>
      </c>
      <c r="D80" t="s">
        <v>130</v>
      </c>
      <c r="E80" s="1" t="s">
        <f>C76</f>
        <v>114</v>
      </c>
    </row>
    <row r="81" ht="15" customHeight="1">
      <c r="A81" t="s">
        <v>129</v>
      </c>
      <c r="B81" t="s">
        <v>31</v>
      </c>
      <c r="C81">
        <f>C14</f>
        <v>902.15</v>
      </c>
      <c r="D81" t="s">
        <v>85</v>
      </c>
      <c r="E81" s="1">
        <f>C77</f>
        <v>337.91600000000005</v>
      </c>
    </row>
    <row r="82" ht="15" customHeight="1">
      <c r="B82" t="s">
        <v>31</v>
      </c>
      <c r="C82">
        <f>ROUNDUP(C81/E81,2)</f>
        <v>2.67</v>
      </c>
      <c r="D82" t="s">
        <v>131</v>
      </c>
    </row>
    <row r="83" ht="15" customHeight="1">
      <c r="A83" t="s">
        <v>132</v>
      </c>
      <c r="B83" s="1">
        <f>C82</f>
        <v>2.67</v>
      </c>
      <c r="C83" t="s">
        <v>133</v>
      </c>
    </row>
    <row r="84" ht="18" customHeight="1">
      <c r="A84" t="s">
        <v>134</v>
      </c>
      <c r="B84" t="s">
        <v>31</v>
      </c>
      <c r="C84" s="2">
        <f>F79</f>
        <v>100.83</v>
      </c>
      <c r="D84" t="s">
        <v>70</v>
      </c>
    </row>
    <row r="85" ht="18" customHeight="1">
      <c r="A85" t="s">
        <v>135</v>
      </c>
      <c r="B85" t="s">
        <v>31</v>
      </c>
      <c r="C85" s="2">
        <f>B50</f>
        <v>101.6</v>
      </c>
      <c r="D85" t="s">
        <v>70</v>
      </c>
    </row>
    <row r="86" ht="15" customHeight="1">
      <c r="A86" t="s">
        <v>136</v>
      </c>
    </row>
    <row r="87" ht="15" customHeight="1">
      <c r="A87" t="s">
        <v>137</v>
      </c>
    </row>
    <row r="88" ht="15" customHeight="1">
      <c r="A88" t="s">
        <v>138</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139</v>
      </c>
    </row>
    <row r="2" ht="51" customHeight="1">
      <c r="A2" t="s">
        <f>'afflux calculation'!A2:H2</f>
        <v>26</v>
      </c>
    </row>
    <row r="3" ht="15.75" customHeight="1">
      <c r="A3" t="s">
        <v>140</v>
      </c>
    </row>
    <row r="4">
      <c r="A4" t="s">
        <v>141</v>
      </c>
      <c r="F4" s="2">
        <v>100.6</v>
      </c>
      <c r="G4" t="s">
        <v>70</v>
      </c>
    </row>
    <row r="5" ht="45" customHeight="1">
      <c r="A5" t="s">
        <v>142</v>
      </c>
      <c r="B5" s="3" t="s">
        <v>143</v>
      </c>
      <c r="C5" t="s">
        <v>144</v>
      </c>
      <c r="D5" t="s">
        <v>145</v>
      </c>
      <c r="E5" t="s">
        <v>146</v>
      </c>
      <c r="F5" t="s">
        <v>147</v>
      </c>
      <c r="G5" t="s">
        <v>148</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149</v>
      </c>
      <c r="D27" s="1">
        <f>SUM(D6:D26)</f>
        <v>190</v>
      </c>
      <c r="F27" s="1">
        <f>SUM(F6:F26)</f>
        <v>490.3000000000011</v>
      </c>
      <c r="G27" s="1">
        <f>SUM(G6:G26)</f>
        <v>190.70731489786334</v>
      </c>
    </row>
    <row r="28"/>
    <row r="29">
      <c r="B29" s="3" t="s">
        <v>34</v>
      </c>
      <c r="C29" s="1">
        <f>F27</f>
        <v>490.3000000000011</v>
      </c>
      <c r="D29" s="1" t="s">
        <v>150</v>
      </c>
    </row>
    <row r="30">
      <c r="B30" s="3" t="s">
        <v>38</v>
      </c>
      <c r="C30" s="1">
        <f>G27</f>
        <v>190.70731489786334</v>
      </c>
      <c r="D30" s="1" t="s">
        <v>70</v>
      </c>
    </row>
    <row r="31">
      <c r="B31" s="3" t="s">
        <v>151</v>
      </c>
      <c r="C31" s="1">
        <f>C29/C30</f>
        <v>2.570955394461874</v>
      </c>
      <c r="D31" t="s">
        <v>70</v>
      </c>
    </row>
    <row r="32">
      <c r="B32" s="3" t="s">
        <v>152</v>
      </c>
      <c r="C32">
        <v>0.033</v>
      </c>
    </row>
    <row r="33">
      <c r="B33" s="3" t="s">
        <v>153</v>
      </c>
      <c r="C33">
        <f>'Bed Slope'!J24</f>
        <v>960</v>
      </c>
    </row>
    <row r="34">
      <c r="B34" s="3" t="s">
        <v>51</v>
      </c>
      <c r="C34" s="1">
        <f>(1/C32*(C31^(2/3))*((1/C33)^0.5))</f>
        <v>1.8354679471127884</v>
      </c>
      <c r="D34" t="s">
        <v>154</v>
      </c>
    </row>
    <row r="35">
      <c r="B35" s="3" t="s">
        <v>30</v>
      </c>
      <c r="C35" s="1">
        <f>C29*C34</f>
        <v>899.9299344694022</v>
      </c>
      <c r="D35" t="s">
        <v>155</v>
      </c>
    </row>
    <row r="36" ht="90.75" customHeight="1">
      <c r="B36" s="3" t="s">
        <v>156</v>
      </c>
    </row>
    <row r="37">
      <c r="B37" s="3" t="s">
        <v>157</v>
      </c>
      <c r="E37" s="1">
        <f>C35</f>
        <v>899.9299344694022</v>
      </c>
      <c r="F37" t="s">
        <f>D35</f>
        <v>155</v>
      </c>
    </row>
    <row r="39" ht="19.5" customHeight="1">
      <c r="A39" t="s">
        <v>158</v>
      </c>
    </row>
    <row r="40" ht="15" customHeight="1">
      <c r="A40" t="s">
        <v>159</v>
      </c>
      <c r="E40" s="2">
        <f>ROUND(MAX(E41+E42,F3-'afflux calculation'!B51/2),2)</f>
        <v>101.6</v>
      </c>
      <c r="G40" t="s">
        <v>70</v>
      </c>
    </row>
    <row r="41" ht="15" customHeight="1">
      <c r="A41" t="s">
        <v>160</v>
      </c>
      <c r="E41" s="2">
        <v>96.6</v>
      </c>
      <c r="G41" t="s">
        <v>70</v>
      </c>
    </row>
    <row r="42" ht="15" customHeight="1">
      <c r="A42" t="s">
        <v>161</v>
      </c>
      <c r="E42" s="2">
        <v>5</v>
      </c>
      <c r="G42" t="s">
        <v>70</v>
      </c>
    </row>
    <row r="43" ht="15" customHeight="1">
      <c r="A43" t="s">
        <v>162</v>
      </c>
      <c r="E43" s="2">
        <f>MIN('CROSS SECTION'!B6:B25)</f>
        <v>96.46999999999998</v>
      </c>
      <c r="G43" t="s">
        <v>70</v>
      </c>
    </row>
    <row r="44" ht="15" customHeight="1">
      <c r="A44" t="s">
        <v>163</v>
      </c>
      <c r="E44" s="2">
        <f>E41+1</f>
        <v>97.6</v>
      </c>
      <c r="G44" t="s">
        <v>70</v>
      </c>
    </row>
    <row r="45" ht="15" customHeight="1">
      <c r="A45" t="s">
        <v>164</v>
      </c>
      <c r="E45" s="2">
        <f>E43-3</f>
        <v>93.46999999999998</v>
      </c>
      <c r="G45" t="s">
        <v>70</v>
      </c>
    </row>
    <row r="46" ht="15" customHeight="1">
      <c r="A46" t="s">
        <v>165</v>
      </c>
      <c r="E46" s="2">
        <f>E40-E43</f>
        <v>5.13000000000001</v>
      </c>
      <c r="G46" t="s">
        <v>70</v>
      </c>
    </row>
    <row r="47" ht="15" customHeight="1">
      <c r="A47" t="s">
        <v>166</v>
      </c>
      <c r="E47" s="2">
        <f>E40-E45</f>
        <v>8.13000000000001</v>
      </c>
      <c r="G47" t="s">
        <v>70</v>
      </c>
    </row>
    <row r="48">
      <c r="A48" t="s">
        <v>167</v>
      </c>
    </row>
    <row r="49">
      <c r="A49" t="s">
        <v>168</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169</v>
      </c>
    </row>
    <row r="2" ht="18" customHeight="1">
      <c r="A2" t="s">
        <f>HYDRAULICS!A2</f>
        <v>26</v>
      </c>
    </row>
    <row r="3" ht="86.25" customHeight="1">
      <c r="B3" t="s">
        <v>170</v>
      </c>
    </row>
    <row r="4" ht="71.25" customHeight="1">
      <c r="B4" t="s">
        <v>171</v>
      </c>
    </row>
    <row r="5">
      <c r="A5" t="s">
        <v>172</v>
      </c>
    </row>
    <row r="6">
      <c r="B6" t="s">
        <v>173</v>
      </c>
      <c r="G6" t="s">
        <v>174</v>
      </c>
      <c r="L6">
        <f>'afflux calculation'!F79</f>
        <v>100.83</v>
      </c>
      <c r="M6" t="s">
        <v>70</v>
      </c>
    </row>
    <row r="7">
      <c r="B7" t="s">
        <v>175</v>
      </c>
      <c r="C7" t="s">
        <v>31</v>
      </c>
      <c r="D7">
        <f>'afflux calculation'!B78</f>
        <v>0.23</v>
      </c>
      <c r="E7" t="s">
        <v>70</v>
      </c>
    </row>
    <row r="8">
      <c r="B8" t="s">
        <v>176</v>
      </c>
      <c r="C8" t="s">
        <v>31</v>
      </c>
      <c r="D8">
        <f>D7</f>
        <v>0.23</v>
      </c>
      <c r="E8" t="s">
        <v>177</v>
      </c>
      <c r="F8">
        <v>10</v>
      </c>
      <c r="G8" t="s">
        <v>31</v>
      </c>
      <c r="H8">
        <f>D8*F8</f>
        <v>2.3000000000000003</v>
      </c>
      <c r="I8" t="s">
        <v>178</v>
      </c>
    </row>
    <row r="9">
      <c r="B9" t="s">
        <v>179</v>
      </c>
      <c r="C9" t="s">
        <v>31</v>
      </c>
      <c r="D9" s="1">
        <f>'STABILITY CHECK FOR PIER'!E6</f>
        <v>8.799999999999999</v>
      </c>
      <c r="E9" t="s">
        <v>69</v>
      </c>
      <c r="F9">
        <f>'afflux calculation'!C18</f>
        <v>12</v>
      </c>
      <c r="G9" t="s">
        <v>31</v>
      </c>
      <c r="H9">
        <f>D9*F9</f>
        <v>105.6</v>
      </c>
      <c r="I9" t="s">
        <v>180</v>
      </c>
    </row>
    <row r="10">
      <c r="B10" t="s">
        <v>181</v>
      </c>
      <c r="C10" t="s">
        <v>31</v>
      </c>
      <c r="D10">
        <f>H9</f>
        <v>105.6</v>
      </c>
      <c r="E10" t="s">
        <v>69</v>
      </c>
      <c r="F10">
        <f>H8</f>
        <v>2.3000000000000003</v>
      </c>
      <c r="G10" t="s">
        <v>31</v>
      </c>
      <c r="H10">
        <f>ROUNDUP(D10*F10,2)</f>
        <v>242.88</v>
      </c>
      <c r="I10" t="s">
        <v>182</v>
      </c>
    </row>
    <row r="11">
      <c r="B11" s="1" t="s">
        <v>183</v>
      </c>
      <c r="C11" s="1" t="s">
        <v>31</v>
      </c>
      <c r="D11" s="1">
        <f>D9</f>
        <v>8.799999999999999</v>
      </c>
      <c r="E11" s="1" t="s">
        <v>69</v>
      </c>
      <c r="F11" s="4">
        <f>F9</f>
        <v>12</v>
      </c>
      <c r="G11" s="1" t="s">
        <v>69</v>
      </c>
      <c r="H11" s="1">
        <v>0.75</v>
      </c>
      <c r="I11" s="1" t="s">
        <v>69</v>
      </c>
      <c r="J11" s="1">
        <v>24</v>
      </c>
      <c r="K11" s="1" t="s">
        <v>31</v>
      </c>
      <c r="L11" s="1">
        <f>D11*F11*H11*J11</f>
        <v>1900.7999999999997</v>
      </c>
      <c r="M11" s="1" t="s">
        <v>182</v>
      </c>
    </row>
    <row r="12">
      <c r="B12" s="1" t="s">
        <v>184</v>
      </c>
      <c r="C12" s="1" t="s">
        <v>31</v>
      </c>
      <c r="D12" s="1">
        <f>D11</f>
        <v>8.799999999999999</v>
      </c>
      <c r="E12" s="1" t="s">
        <v>69</v>
      </c>
      <c r="F12" s="4">
        <f>F11</f>
        <v>12</v>
      </c>
      <c r="G12" s="1" t="s">
        <v>69</v>
      </c>
      <c r="H12" s="2">
        <v>0.075</v>
      </c>
      <c r="I12" s="1" t="s">
        <v>69</v>
      </c>
      <c r="J12" s="1">
        <v>24</v>
      </c>
      <c r="K12" s="1" t="s">
        <v>31</v>
      </c>
      <c r="L12" s="1">
        <f>D12*F12*H12*J12</f>
        <v>190.07999999999998</v>
      </c>
      <c r="M12" s="1" t="s">
        <v>182</v>
      </c>
    </row>
    <row r="13">
      <c r="B13" s="1" t="s">
        <v>185</v>
      </c>
      <c r="C13" s="1" t="s">
        <v>31</v>
      </c>
      <c r="D13" s="1" t="s">
        <v>186</v>
      </c>
      <c r="E13" s="1" t="s">
        <v>69</v>
      </c>
      <c r="F13" s="1">
        <v>1.5</v>
      </c>
      <c r="G13" s="1" t="s">
        <v>69</v>
      </c>
      <c r="H13" s="1">
        <v>0.5</v>
      </c>
      <c r="I13" s="1" t="s">
        <v>69</v>
      </c>
      <c r="J13" s="1">
        <v>0</v>
      </c>
      <c r="K13" s="1" t="s">
        <v>31</v>
      </c>
      <c r="L13" s="1">
        <f>2*D12*F13*H13*J13</f>
        <v>0</v>
      </c>
      <c r="M13" s="1" t="s">
        <v>182</v>
      </c>
    </row>
    <row r="14">
      <c r="B14" s="1" t="s">
        <v>149</v>
      </c>
      <c r="L14" s="1">
        <f>SUM(L11:L13)</f>
        <v>2090.8799999999997</v>
      </c>
      <c r="M14" s="1" t="s">
        <v>182</v>
      </c>
    </row>
    <row r="15">
      <c r="B15" s="1" t="s">
        <v>187</v>
      </c>
      <c r="C15" s="1" t="s">
        <v>31</v>
      </c>
      <c r="D15" s="1">
        <f>H10</f>
        <v>242.88</v>
      </c>
      <c r="E15" s="1" t="s">
        <v>114</v>
      </c>
      <c r="F15" s="1">
        <f>L14</f>
        <v>2090.8799999999997</v>
      </c>
      <c r="G15" s="1" t="s">
        <v>31</v>
      </c>
      <c r="H15" s="1">
        <f>D15-F15</f>
        <v>-1847.9999999999995</v>
      </c>
      <c r="I15" s="1" t="s">
        <v>182</v>
      </c>
    </row>
    <row r="16">
      <c r="H16" s="1" t="s">
        <v>188</v>
      </c>
    </row>
    <row r="17">
      <c r="A17" t="s">
        <v>189</v>
      </c>
    </row>
    <row r="18">
      <c r="B18" t="s">
        <v>190</v>
      </c>
    </row>
    <row r="19">
      <c r="B19" t="s">
        <v>191</v>
      </c>
    </row>
    <row r="20">
      <c r="B20" t="s">
        <v>192</v>
      </c>
      <c r="D20" t="s">
        <v>193</v>
      </c>
      <c r="E20" s="1">
        <f>'afflux calculation'!B83</f>
        <v>2.67</v>
      </c>
      <c r="F20" t="s">
        <v>131</v>
      </c>
      <c r="G20" t="s">
        <v>194</v>
      </c>
      <c r="M20" t="s">
        <v>195</v>
      </c>
    </row>
    <row r="21">
      <c r="B21" t="s">
        <v>196</v>
      </c>
      <c r="C21" t="s">
        <v>31</v>
      </c>
      <c r="D21" s="1">
        <f>E20</f>
        <v>2.67</v>
      </c>
      <c r="E21" t="s">
        <v>69</v>
      </c>
      <c r="F21" t="s">
        <v>197</v>
      </c>
    </row>
    <row r="22">
      <c r="C22" t="s">
        <v>31</v>
      </c>
      <c r="D22" s="1">
        <f>D21*COS(20*3.14/180)</f>
        <v>2.5091408583634016</v>
      </c>
    </row>
    <row r="23">
      <c r="B23" t="s">
        <v>198</v>
      </c>
      <c r="C23" t="s">
        <v>31</v>
      </c>
      <c r="D23" s="1">
        <f>D22^2*2</f>
        <v>12.591575694217255</v>
      </c>
    </row>
    <row r="24">
      <c r="B24" t="s">
        <v>199</v>
      </c>
      <c r="C24" t="s">
        <v>31</v>
      </c>
      <c r="D24" s="1">
        <f>'STABILITY CHECK FOR PIER'!E8</f>
        <v>100.6</v>
      </c>
      <c r="E24" s="1" t="s">
        <f>'STABILITY CHECK FOR PIER'!E123</f>
        <v>70</v>
      </c>
      <c r="F24" s="1" t="s">
        <v>200</v>
      </c>
      <c r="I24" s="1">
        <f>D24+'afflux calculation'!B78</f>
        <v>100.83</v>
      </c>
      <c r="J24" s="1" t="s">
        <v>70</v>
      </c>
    </row>
    <row r="25">
      <c r="B25" s="1" t="s">
        <v>201</v>
      </c>
    </row>
    <row r="26">
      <c r="B26" s="1" t="s">
        <v>202</v>
      </c>
      <c r="C26" s="1" t="s">
        <v>31</v>
      </c>
      <c r="D26" s="1">
        <f>D12</f>
        <v>8.799999999999999</v>
      </c>
      <c r="E26" s="1" t="s">
        <v>69</v>
      </c>
      <c r="F26" s="2">
        <f>'afflux calculation'!B78</f>
        <v>0.23</v>
      </c>
      <c r="G26" s="1" t="s">
        <v>31</v>
      </c>
      <c r="H26" s="1">
        <f>D26*F26</f>
        <v>2.024</v>
      </c>
      <c r="I26" s="1" t="s">
        <v>180</v>
      </c>
    </row>
    <row r="28" ht="14.25" customHeight="1">
      <c r="B28" t="s">
        <v>203</v>
      </c>
      <c r="C28" t="s">
        <v>31</v>
      </c>
      <c r="D28" s="1">
        <v>52</v>
      </c>
      <c r="E28" s="1" t="s">
        <v>69</v>
      </c>
      <c r="F28" s="1" t="s">
        <v>204</v>
      </c>
      <c r="G28" s="1" t="s">
        <v>69</v>
      </c>
      <c r="H28" s="1" t="s">
        <v>205</v>
      </c>
      <c r="I28" s="1" t="s">
        <v>69</v>
      </c>
      <c r="J28" s="1" t="s">
        <v>202</v>
      </c>
    </row>
    <row r="29">
      <c r="C29" t="s">
        <v>31</v>
      </c>
      <c r="D29" s="1">
        <f>D28</f>
        <v>52</v>
      </c>
      <c r="E29" s="1" t="s">
        <v>69</v>
      </c>
      <c r="F29" s="1">
        <v>1.5</v>
      </c>
      <c r="G29" s="1" t="s">
        <v>69</v>
      </c>
      <c r="H29" s="1">
        <f>D23</f>
        <v>12.591575694217255</v>
      </c>
      <c r="I29" s="1" t="s">
        <v>69</v>
      </c>
      <c r="J29" s="1">
        <f>H26</f>
        <v>2.024</v>
      </c>
      <c r="K29" s="1" t="s">
        <v>206</v>
      </c>
      <c r="L29" t="s">
        <v>31</v>
      </c>
      <c r="M29" s="1">
        <f>D29*F29*H29*J29/100</f>
        <v>19.878572379974667</v>
      </c>
      <c r="N29" t="s">
        <v>182</v>
      </c>
    </row>
    <row r="31">
      <c r="B31" t="s">
        <v>207</v>
      </c>
      <c r="C31">
        <v>32</v>
      </c>
      <c r="D31" t="s">
        <v>208</v>
      </c>
    </row>
    <row r="32" ht="14.25" customHeight="1">
      <c r="B32" t="s">
        <v>209</v>
      </c>
      <c r="C32">
        <v>190</v>
      </c>
      <c r="D32" s="1" t="s">
        <v>210</v>
      </c>
    </row>
    <row r="33" ht="14.25" customHeight="1">
      <c r="B33" t="s">
        <v>211</v>
      </c>
      <c r="D33" t="s">
        <v>212</v>
      </c>
      <c r="E33">
        <v>0.785</v>
      </c>
      <c r="F33" t="s">
        <v>69</v>
      </c>
      <c r="G33">
        <f>C31</f>
        <v>32</v>
      </c>
      <c r="H33">
        <v>2</v>
      </c>
      <c r="I33" t="s">
        <v>213</v>
      </c>
      <c r="J33">
        <f>C32</f>
        <v>190</v>
      </c>
      <c r="K33" t="s">
        <v>214</v>
      </c>
      <c r="L33" t="s">
        <v>31</v>
      </c>
      <c r="M33">
        <f>ROUNDUP(E33*C31*C31/4*C32/1000,2)</f>
        <v>38.19</v>
      </c>
      <c r="N33" t="s">
        <v>182</v>
      </c>
    </row>
    <row r="34">
      <c r="B34" t="s">
        <v>215</v>
      </c>
      <c r="C34">
        <v>18</v>
      </c>
      <c r="D34" t="s">
        <v>216</v>
      </c>
    </row>
    <row r="35">
      <c r="B35" t="s">
        <v>217</v>
      </c>
      <c r="C35" t="s">
        <v>31</v>
      </c>
      <c r="D35">
        <f>C34</f>
        <v>18</v>
      </c>
      <c r="E35" t="s">
        <v>69</v>
      </c>
      <c r="F35">
        <f>M33</f>
        <v>38.19</v>
      </c>
      <c r="G35" t="s">
        <v>31</v>
      </c>
      <c r="H35">
        <f>D35*F35</f>
        <v>687.42</v>
      </c>
      <c r="I35" t="s">
        <v>182</v>
      </c>
    </row>
    <row r="36">
      <c r="B36" t="s">
        <v>218</v>
      </c>
      <c r="C36" t="s">
        <v>31</v>
      </c>
      <c r="D36">
        <f>H35</f>
        <v>687.42</v>
      </c>
      <c r="E36" t="s">
        <v>85</v>
      </c>
      <c r="F36">
        <f>M29</f>
        <v>19.878572379974667</v>
      </c>
      <c r="G36" t="s">
        <v>31</v>
      </c>
      <c r="H36">
        <f>ROUNDUP(D36/F36,2)</f>
        <v>34.589999999999996</v>
      </c>
    </row>
    <row r="37">
      <c r="H37" t="s">
        <v>219</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220</v>
      </c>
    </row>
    <row r="2" ht="48" customHeight="1">
      <c r="A2" t="s">
        <f>'Deck Anchorage'!A2</f>
        <v>26</v>
      </c>
    </row>
    <row r="3" ht="15.75" customHeight="1">
      <c r="A3" t="s">
        <v>221</v>
      </c>
    </row>
    <row r="4">
      <c r="A4" t="s">
        <v>141</v>
      </c>
      <c r="F4" s="2">
        <f>HYDRAULICS!F4</f>
        <v>100.6</v>
      </c>
      <c r="G4" t="s">
        <v>70</v>
      </c>
    </row>
    <row r="5" ht="45" customHeight="1">
      <c r="A5" t="s">
        <v>222</v>
      </c>
      <c r="B5" t="s">
        <v>223</v>
      </c>
      <c r="C5" t="s">
        <v>144</v>
      </c>
      <c r="D5" t="s">
        <v>145</v>
      </c>
      <c r="E5" t="s">
        <v>146</v>
      </c>
      <c r="F5" t="s">
        <v>147</v>
      </c>
      <c r="G5" t="s">
        <v>148</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149</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224</v>
      </c>
    </row>
    <row r="2" ht="36.75" customHeight="1">
      <c r="A2" t="s">
        <f>'CROSS SECTION'!A2:J2</f>
        <v>26</v>
      </c>
    </row>
    <row r="3" ht="38.25" customHeight="1">
      <c r="A3" t="s">
        <v>222</v>
      </c>
      <c r="B3" t="s">
        <v>223</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225</v>
      </c>
    </row>
    <row r="18">
      <c r="D18" t="s">
        <v>226</v>
      </c>
      <c r="E18" t="s">
        <v>227</v>
      </c>
    </row>
    <row r="19">
      <c r="D19" s="1">
        <f>A4</f>
        <v>0</v>
      </c>
      <c r="E19" s="7">
        <f>B4</f>
        <v>94.505</v>
      </c>
    </row>
    <row r="20">
      <c r="D20" s="1">
        <f>A14</f>
        <v>235</v>
      </c>
      <c r="E20" s="7">
        <f>B14</f>
        <v>94.25999999999998</v>
      </c>
    </row>
    <row r="21"/>
    <row r="22">
      <c r="G22" t="s">
        <v>228</v>
      </c>
      <c r="I22">
        <f>D20-D19</f>
        <v>235</v>
      </c>
      <c r="J22" t="s">
        <v>70</v>
      </c>
    </row>
    <row r="23">
      <c r="G23" t="s">
        <v>229</v>
      </c>
      <c r="I23">
        <f>E19-E20</f>
        <v>0.24500000000001876</v>
      </c>
      <c r="J23" t="s">
        <v>70</v>
      </c>
    </row>
    <row r="24">
      <c r="G24" t="s">
        <v>230</v>
      </c>
      <c r="H24">
        <v>1</v>
      </c>
      <c r="I24" t="s">
        <v>43</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231</v>
      </c>
    </row>
    <row r="71" ht="35.25" customHeight="1">
      <c r="A71" s="1" t="s">
        <v>231</v>
      </c>
    </row>
    <row r="72" ht="15" customHeight="1"/>
    <row r="73">
      <c r="A73" s="1" t="s">
        <v>232</v>
      </c>
    </row>
    <row r="74" ht="12" customHeight="1">
      <c r="D74" s="1">
        <v>20</v>
      </c>
      <c r="E74" s="1" t="s">
        <v>233</v>
      </c>
    </row>
    <row r="76">
      <c r="C76" t="s">
        <v>234</v>
      </c>
      <c r="D76" s="1">
        <f>D74*10</f>
        <v>200</v>
      </c>
      <c r="E76" s="1" t="s">
        <v>235</v>
      </c>
    </row>
    <row r="78">
      <c r="D78" t="s">
        <v>236</v>
      </c>
      <c r="F78" t="s">
        <v>237</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238</v>
      </c>
    </row>
    <row r="2">
      <c r="A2" s="4" t="s">
        <f>'abstract of stresses'!A2:N2</f>
        <v>26</v>
      </c>
    </row>
    <row r="3">
      <c r="A3" s="4" t="s">
        <v>239</v>
      </c>
    </row>
    <row r="4" ht="13.5" customHeight="1"/>
    <row r="5" ht="13.5" customHeight="1">
      <c r="A5" s="4">
        <v>1</v>
      </c>
      <c r="B5" s="1" t="s">
        <v>240</v>
      </c>
      <c r="D5" s="1" t="s">
        <v>31</v>
      </c>
      <c r="E5" s="1">
        <v>7.6</v>
      </c>
      <c r="F5" s="1" t="s">
        <v>70</v>
      </c>
      <c r="G5" s="1" t="s">
        <v>241</v>
      </c>
      <c r="K5" s="1" t="s">
        <v>242</v>
      </c>
    </row>
    <row r="6">
      <c r="A6" s="4">
        <f>A5+1</f>
        <v>2</v>
      </c>
      <c r="B6" s="1" t="s">
        <v>243</v>
      </c>
      <c r="D6" s="1" t="s">
        <v>31</v>
      </c>
      <c r="E6" s="1">
        <f>E5+1.2</f>
        <v>8.799999999999999</v>
      </c>
      <c r="F6" s="1" t="s">
        <v>70</v>
      </c>
    </row>
    <row r="7">
      <c r="A7" s="4">
        <f>A6+1</f>
        <v>3</v>
      </c>
      <c r="B7" s="1" t="s">
        <v>244</v>
      </c>
      <c r="D7" s="1" t="s">
        <v>31</v>
      </c>
      <c r="E7" s="1">
        <v>8.4</v>
      </c>
      <c r="F7" s="1" t="s">
        <v>70</v>
      </c>
      <c r="H7" s="1" t="s">
        <v>245</v>
      </c>
    </row>
    <row r="8">
      <c r="A8" s="4">
        <f>A7+1</f>
        <v>4</v>
      </c>
      <c r="B8" s="1" t="s">
        <v>246</v>
      </c>
      <c r="D8" s="1" t="s">
        <v>31</v>
      </c>
      <c r="E8" s="1">
        <f>HYDRAULICS!F4</f>
        <v>100.6</v>
      </c>
      <c r="F8" s="1" t="s">
        <v>70</v>
      </c>
    </row>
    <row r="9">
      <c r="A9" s="4">
        <f>A8+1</f>
        <v>5</v>
      </c>
      <c r="B9" s="1" t="s">
        <v>247</v>
      </c>
    </row>
    <row r="10">
      <c r="A10" s="4">
        <f>A9+1</f>
        <v>6</v>
      </c>
      <c r="C10" s="1" t="s">
        <v>248</v>
      </c>
      <c r="D10" s="1" t="s">
        <v>31</v>
      </c>
      <c r="E10" s="1">
        <v>100</v>
      </c>
      <c r="F10" s="1" t="s">
        <v>249</v>
      </c>
    </row>
    <row r="11">
      <c r="A11" s="4">
        <f>A10+1</f>
        <v>7</v>
      </c>
      <c r="C11" s="1" t="s">
        <v>250</v>
      </c>
      <c r="D11" s="1" t="s">
        <v>31</v>
      </c>
      <c r="E11" s="1">
        <v>100</v>
      </c>
      <c r="F11" s="1" t="s">
        <v>249</v>
      </c>
    </row>
    <row r="12" ht="38.25" customHeight="1">
      <c r="A12" s="4">
        <f>A11+1</f>
        <v>8</v>
      </c>
      <c r="B12" s="1" t="s">
        <v>251</v>
      </c>
    </row>
    <row r="13">
      <c r="A13" s="4">
        <f>A12+1</f>
        <v>9</v>
      </c>
      <c r="B13" s="1" t="s">
        <v>252</v>
      </c>
      <c r="D13" s="1" t="s">
        <v>31</v>
      </c>
      <c r="E13" s="1">
        <f>HYDRAULICS!C35</f>
        <v>899.9299344694022</v>
      </c>
      <c r="F13" s="1" t="s">
        <v>155</v>
      </c>
    </row>
    <row r="14">
      <c r="A14" s="4">
        <f>A13+1</f>
        <v>10</v>
      </c>
      <c r="B14" s="1" t="s">
        <v>253</v>
      </c>
      <c r="D14" s="1" t="s">
        <v>31</v>
      </c>
      <c r="E14" s="4">
        <v>1</v>
      </c>
      <c r="F14" s="1" t="s">
        <v>43</v>
      </c>
      <c r="G14" s="4">
        <f>HYDRAULICS!C33</f>
        <v>960</v>
      </c>
    </row>
    <row r="15">
      <c r="A15" s="4">
        <f>A14+1</f>
        <v>11</v>
      </c>
      <c r="B15" s="1" t="s">
        <v>254</v>
      </c>
      <c r="D15" s="1" t="s">
        <v>31</v>
      </c>
      <c r="E15" s="1">
        <f>HYDRAULICS!C34</f>
        <v>1.8354679471127884</v>
      </c>
      <c r="F15" s="1" t="s">
        <v>131</v>
      </c>
    </row>
    <row r="16" ht="25.5" customHeight="1">
      <c r="A16" s="4">
        <f>A15+1</f>
        <v>12</v>
      </c>
      <c r="B16" s="1" t="s">
        <v>255</v>
      </c>
      <c r="D16" s="1" t="s">
        <v>31</v>
      </c>
      <c r="E16" s="1">
        <f>HYDRAULICS!E43</f>
        <v>96.46999999999998</v>
      </c>
      <c r="F16" s="1" t="s">
        <v>70</v>
      </c>
    </row>
    <row r="17" ht="20.25" customHeight="1">
      <c r="A17" s="4">
        <f>A16+1</f>
        <v>13</v>
      </c>
      <c r="B17" s="1" t="s">
        <v>256</v>
      </c>
      <c r="D17" s="1" t="s">
        <v>31</v>
      </c>
      <c r="E17" s="1">
        <v>20</v>
      </c>
      <c r="F17" s="1" t="s">
        <v>257</v>
      </c>
      <c r="G17" s="1">
        <f>E17*10</f>
        <v>200</v>
      </c>
      <c r="H17" s="1" t="s">
        <v>258</v>
      </c>
    </row>
    <row r="18">
      <c r="A18" s="4">
        <f>A17+1</f>
        <v>14</v>
      </c>
      <c r="B18" s="1" t="s">
        <v>259</v>
      </c>
      <c r="D18" s="1" t="s">
        <v>31</v>
      </c>
      <c r="E18" s="1">
        <f>HYDRAULICS!E45</f>
        <v>93.46999999999998</v>
      </c>
      <c r="F18" s="1" t="s">
        <v>70</v>
      </c>
    </row>
    <row r="19" ht="25.5" customHeight="1">
      <c r="A19" s="4">
        <f>A18+1</f>
        <v>15</v>
      </c>
      <c r="B19" s="1" t="s">
        <v>260</v>
      </c>
      <c r="D19" s="1" t="s">
        <v>31</v>
      </c>
      <c r="E19" s="1">
        <v>1.5</v>
      </c>
      <c r="F19" s="1" t="s">
        <v>70</v>
      </c>
      <c r="G19" s="1" t="s">
        <v>261</v>
      </c>
    </row>
    <row r="20" ht="25.5" customHeight="1">
      <c r="A20" s="4">
        <f>A19+1</f>
        <v>16</v>
      </c>
      <c r="B20" s="1" t="s">
        <v>262</v>
      </c>
      <c r="D20" s="1" t="s">
        <v>31</v>
      </c>
      <c r="E20" s="2">
        <f>E18-E19</f>
        <v>91.96999999999998</v>
      </c>
      <c r="F20" s="1" t="s">
        <v>70</v>
      </c>
    </row>
    <row r="21">
      <c r="A21" s="4">
        <f>A20+1</f>
        <v>17</v>
      </c>
      <c r="B21" s="1" t="s">
        <v>263</v>
      </c>
      <c r="D21" s="1" t="s">
        <v>31</v>
      </c>
      <c r="E21" s="2">
        <f>'afflux calculation'!B50</f>
        <v>101.6</v>
      </c>
      <c r="F21" s="1" t="s">
        <v>70</v>
      </c>
    </row>
    <row r="22">
      <c r="A22" s="4">
        <f>A21+1</f>
        <v>18</v>
      </c>
      <c r="B22" s="1" t="s">
        <v>264</v>
      </c>
      <c r="D22" s="1" t="s">
        <v>31</v>
      </c>
      <c r="E22" s="2">
        <f>E21-H27-H28</f>
        <v>100.77499999999999</v>
      </c>
      <c r="F22" s="1" t="s">
        <v>70</v>
      </c>
    </row>
    <row r="23" ht="25.5" customHeight="1">
      <c r="A23" s="4">
        <f>A22+1</f>
        <v>19</v>
      </c>
      <c r="B23" s="1" t="s">
        <v>265</v>
      </c>
      <c r="D23" s="1" t="s">
        <v>31</v>
      </c>
      <c r="E23" s="1">
        <f>E22-E20</f>
        <v>8.805000000000007</v>
      </c>
      <c r="F23" s="1" t="s">
        <v>70</v>
      </c>
    </row>
    <row r="24">
      <c r="A24" s="4" t="s">
        <f>CONCATENATE("CHECKING STABILITY OF PIER AT R.L.",E20," ",F20, "  FOOTING LEVEL")</f>
        <v>266</v>
      </c>
    </row>
    <row r="25">
      <c r="A25" s="4" t="s">
        <v>34</v>
      </c>
      <c r="B25" s="1" t="s">
        <v>267</v>
      </c>
    </row>
    <row r="26">
      <c r="B26" s="1" t="s">
        <v>268</v>
      </c>
      <c r="H26" s="1" t="s">
        <v>269</v>
      </c>
    </row>
    <row r="27">
      <c r="B27" s="1" t="s">
        <v>183</v>
      </c>
      <c r="C27" s="1" t="s">
        <v>31</v>
      </c>
      <c r="D27" s="1">
        <f>E6</f>
        <v>8.799999999999999</v>
      </c>
      <c r="E27" s="1" t="s">
        <v>69</v>
      </c>
      <c r="F27" s="1">
        <v>8.4</v>
      </c>
      <c r="G27" s="1" t="s">
        <v>69</v>
      </c>
      <c r="H27" s="1">
        <v>0.75</v>
      </c>
      <c r="I27" s="1" t="s">
        <v>69</v>
      </c>
      <c r="J27" s="1">
        <v>24</v>
      </c>
      <c r="K27" s="1" t="s">
        <v>31</v>
      </c>
      <c r="L27" s="1">
        <f>D27*F27*H27*J27</f>
        <v>1330.5599999999997</v>
      </c>
      <c r="M27" s="1" t="s">
        <v>182</v>
      </c>
    </row>
    <row r="28">
      <c r="B28" s="1" t="s">
        <v>184</v>
      </c>
      <c r="C28" s="1" t="s">
        <v>31</v>
      </c>
      <c r="D28" s="1">
        <f>D27</f>
        <v>8.799999999999999</v>
      </c>
      <c r="E28" s="1" t="s">
        <v>69</v>
      </c>
      <c r="F28" s="1">
        <v>8.4</v>
      </c>
      <c r="G28" s="1" t="s">
        <v>69</v>
      </c>
      <c r="H28" s="2">
        <v>0.075</v>
      </c>
      <c r="I28" s="1" t="s">
        <v>69</v>
      </c>
      <c r="J28" s="1">
        <v>24</v>
      </c>
      <c r="K28" s="1" t="s">
        <v>31</v>
      </c>
      <c r="L28" s="1">
        <f>D28*F28*H28*J28</f>
        <v>133.05599999999998</v>
      </c>
      <c r="M28" s="1" t="s">
        <v>182</v>
      </c>
    </row>
    <row r="29">
      <c r="B29" s="1" t="s">
        <v>149</v>
      </c>
      <c r="L29" s="1">
        <f>SUM(L27:L28)</f>
        <v>1463.6159999999998</v>
      </c>
      <c r="M29" s="1" t="s">
        <v>182</v>
      </c>
    </row>
    <row r="30">
      <c r="B30" s="1" t="s">
        <v>270</v>
      </c>
    </row>
    <row r="31">
      <c r="B31" s="1" t="s">
        <v>271</v>
      </c>
    </row>
    <row r="32">
      <c r="B32" s="1" t="s">
        <v>271</v>
      </c>
      <c r="C32" s="1" t="s">
        <v>31</v>
      </c>
      <c r="D32" s="1">
        <v>1.5</v>
      </c>
      <c r="E32" s="1" t="s">
        <v>69</v>
      </c>
      <c r="F32" s="1">
        <v>8.4</v>
      </c>
      <c r="G32" s="1" t="s">
        <v>69</v>
      </c>
      <c r="H32" s="1">
        <v>0.6</v>
      </c>
      <c r="I32" s="1" t="s">
        <v>69</v>
      </c>
      <c r="J32" s="1">
        <v>24</v>
      </c>
      <c r="O32" s="1" t="s">
        <v>31</v>
      </c>
      <c r="P32" s="2">
        <f>J32*H32*F32*D32</f>
        <v>181.44</v>
      </c>
      <c r="Q32" s="1" t="s">
        <v>182</v>
      </c>
    </row>
    <row r="33">
      <c r="B33" s="1" t="s">
        <v>272</v>
      </c>
      <c r="C33" s="1" t="s">
        <v>31</v>
      </c>
      <c r="D33" s="1">
        <v>0.5</v>
      </c>
      <c r="E33" s="1" t="s">
        <v>69</v>
      </c>
      <c r="F33" s="1">
        <v>0.15</v>
      </c>
      <c r="G33" s="1" t="s">
        <v>69</v>
      </c>
      <c r="H33" s="1">
        <v>0.6</v>
      </c>
      <c r="I33" s="1" t="s">
        <v>69</v>
      </c>
      <c r="J33" s="1">
        <f>F32</f>
        <v>8.4</v>
      </c>
      <c r="K33" s="1" t="s">
        <v>69</v>
      </c>
      <c r="L33" s="1">
        <v>2</v>
      </c>
      <c r="M33" s="1" t="s">
        <v>69</v>
      </c>
      <c r="N33" s="1">
        <v>24</v>
      </c>
      <c r="O33" s="1" t="s">
        <v>31</v>
      </c>
      <c r="P33" s="2">
        <f>D33*F33*H33*J33*L33*N33</f>
        <v>18.144</v>
      </c>
      <c r="Q33" s="1" t="s">
        <v>182</v>
      </c>
    </row>
    <row r="34">
      <c r="C34" s="1" t="s">
        <v>31</v>
      </c>
      <c r="D34" s="1">
        <v>0.5</v>
      </c>
      <c r="E34" s="1" t="s">
        <v>69</v>
      </c>
      <c r="F34" s="1">
        <f>F33</f>
        <v>0.15</v>
      </c>
      <c r="G34" s="1" t="s">
        <v>69</v>
      </c>
      <c r="H34" s="1">
        <v>0.6</v>
      </c>
      <c r="I34" s="1" t="s">
        <v>69</v>
      </c>
      <c r="J34" s="1">
        <v>3.14</v>
      </c>
      <c r="K34" s="1" t="s">
        <v>69</v>
      </c>
      <c r="L34" s="1">
        <v>1.2</v>
      </c>
      <c r="M34" s="1" t="s">
        <v>69</v>
      </c>
      <c r="N34" s="1">
        <v>24</v>
      </c>
      <c r="O34" s="1" t="s">
        <v>31</v>
      </c>
      <c r="P34" s="2">
        <f>D34*F34*H34*J34*L34*N34</f>
        <v>4.06944</v>
      </c>
      <c r="Q34" s="1" t="s">
        <v>182</v>
      </c>
    </row>
    <row r="35">
      <c r="B35" s="1" t="s">
        <v>273</v>
      </c>
      <c r="C35" s="1" t="s">
        <v>31</v>
      </c>
      <c r="D35" s="1">
        <v>0.6</v>
      </c>
      <c r="E35" s="1" t="s">
        <v>69</v>
      </c>
      <c r="F35" s="1">
        <v>0.6</v>
      </c>
      <c r="G35" s="1" t="s">
        <v>69</v>
      </c>
      <c r="H35" s="1">
        <v>1.5</v>
      </c>
      <c r="I35" s="1" t="s">
        <v>69</v>
      </c>
      <c r="J35" s="1">
        <v>24</v>
      </c>
      <c r="O35" s="1" t="s">
        <v>31</v>
      </c>
      <c r="P35" s="2">
        <f>J35*H35*F35*D35</f>
        <v>12.959999999999999</v>
      </c>
      <c r="Q35" s="1" t="s">
        <v>182</v>
      </c>
    </row>
    <row r="36">
      <c r="C36" s="1" t="s">
        <v>31</v>
      </c>
      <c r="D36" s="1">
        <v>3.14</v>
      </c>
      <c r="E36" s="1" t="s">
        <v>85</v>
      </c>
      <c r="F36" s="1">
        <v>4</v>
      </c>
      <c r="G36" s="1" t="s">
        <v>69</v>
      </c>
      <c r="H36" s="1">
        <v>1.2</v>
      </c>
      <c r="I36" s="1" t="s">
        <v>69</v>
      </c>
      <c r="J36" s="1">
        <v>1.2</v>
      </c>
      <c r="K36" s="1" t="s">
        <v>69</v>
      </c>
      <c r="L36" s="1">
        <v>0.6</v>
      </c>
      <c r="M36" s="1" t="s">
        <v>69</v>
      </c>
      <c r="N36" s="1">
        <v>24</v>
      </c>
      <c r="O36" s="1" t="s">
        <v>31</v>
      </c>
      <c r="P36" s="2">
        <f>D36/F36*H36*J36*L36*N36</f>
        <v>16.277759999999997</v>
      </c>
      <c r="Q36" s="1" t="s">
        <v>182</v>
      </c>
    </row>
    <row r="37">
      <c r="B37" s="1" t="s">
        <v>149</v>
      </c>
      <c r="P37" s="2">
        <f>SUM(P32:P36)</f>
        <v>232.8912</v>
      </c>
      <c r="Q37" s="1" t="s">
        <v>182</v>
      </c>
    </row>
    <row r="38">
      <c r="B38" s="1" t="s">
        <v>274</v>
      </c>
    </row>
    <row r="39">
      <c r="B39" s="1" t="s">
        <v>275</v>
      </c>
      <c r="C39" s="1" t="s">
        <v>31</v>
      </c>
      <c r="D39" s="1">
        <v>0.5</v>
      </c>
      <c r="E39" s="1" t="s">
        <v>69</v>
      </c>
      <c r="F39" s="1">
        <f>F33</f>
        <v>0.15</v>
      </c>
      <c r="G39" s="1" t="s">
        <v>69</v>
      </c>
      <c r="H39" s="1">
        <v>0.6</v>
      </c>
      <c r="I39" s="1" t="s">
        <v>69</v>
      </c>
      <c r="J39" s="1">
        <f>F32</f>
        <v>8.4</v>
      </c>
      <c r="K39" s="1" t="s">
        <v>69</v>
      </c>
      <c r="L39" s="4">
        <v>2</v>
      </c>
      <c r="M39" s="1" t="s">
        <v>69</v>
      </c>
      <c r="N39" s="1">
        <v>24</v>
      </c>
      <c r="O39" s="1" t="s">
        <v>31</v>
      </c>
      <c r="P39" s="2">
        <f>D39*F39*H39*J39*L39*N39</f>
        <v>18.144</v>
      </c>
      <c r="Q39" s="1" t="s">
        <v>182</v>
      </c>
    </row>
    <row r="40">
      <c r="C40" s="1" t="s">
        <v>31</v>
      </c>
      <c r="D40" s="1">
        <v>0.5</v>
      </c>
      <c r="E40" s="1" t="s">
        <v>69</v>
      </c>
      <c r="F40" s="1">
        <f>F34</f>
        <v>0.15</v>
      </c>
      <c r="G40" s="1" t="s">
        <v>69</v>
      </c>
      <c r="H40" s="1">
        <v>0.6</v>
      </c>
      <c r="I40" s="1" t="s">
        <v>69</v>
      </c>
      <c r="J40" s="1">
        <v>3.14</v>
      </c>
      <c r="K40" s="1" t="s">
        <v>69</v>
      </c>
      <c r="L40" s="1">
        <f>L34</f>
        <v>1.2</v>
      </c>
      <c r="M40" s="1" t="s">
        <v>69</v>
      </c>
      <c r="N40" s="1">
        <v>24</v>
      </c>
      <c r="O40" s="1" t="s">
        <v>31</v>
      </c>
      <c r="P40" s="2">
        <f>D40*F40*H40*J40*L40*N40</f>
        <v>4.06944</v>
      </c>
      <c r="Q40" s="1" t="s">
        <v>182</v>
      </c>
    </row>
    <row r="41">
      <c r="B41" s="1" t="s">
        <v>276</v>
      </c>
      <c r="C41" s="1" t="s">
        <v>31</v>
      </c>
      <c r="D41" s="1">
        <v>1.2</v>
      </c>
      <c r="E41" s="1" t="s">
        <v>69</v>
      </c>
      <c r="F41" s="1">
        <v>7.5</v>
      </c>
      <c r="G41" s="1" t="s">
        <v>69</v>
      </c>
      <c r="H41" s="1">
        <f>E23-1.2-0.6-1.05</f>
        <v>5.955000000000007</v>
      </c>
      <c r="I41" s="1" t="s">
        <v>69</v>
      </c>
      <c r="J41" s="1">
        <v>24</v>
      </c>
      <c r="O41" s="1" t="s">
        <v>31</v>
      </c>
      <c r="P41" s="2">
        <f>J41*H41*F41*D41</f>
        <v>1286.2800000000018</v>
      </c>
      <c r="Q41" s="1" t="s">
        <v>182</v>
      </c>
    </row>
    <row r="42">
      <c r="B42" s="1" t="s">
        <v>277</v>
      </c>
      <c r="C42" s="1" t="s">
        <v>31</v>
      </c>
      <c r="D42" s="1">
        <v>3.14</v>
      </c>
      <c r="E42" s="1" t="s">
        <v>85</v>
      </c>
      <c r="F42" s="4">
        <v>4</v>
      </c>
      <c r="G42" s="1" t="s">
        <v>69</v>
      </c>
      <c r="H42" s="1">
        <f>D41</f>
        <v>1.2</v>
      </c>
      <c r="I42" s="1" t="s">
        <v>69</v>
      </c>
      <c r="J42" s="1">
        <f>D41</f>
        <v>1.2</v>
      </c>
      <c r="K42" s="1" t="s">
        <v>69</v>
      </c>
      <c r="L42" s="1">
        <f>H41</f>
        <v>5.955000000000007</v>
      </c>
      <c r="M42" s="1" t="s">
        <v>69</v>
      </c>
      <c r="N42" s="1">
        <v>24</v>
      </c>
      <c r="O42" s="1" t="s">
        <v>31</v>
      </c>
      <c r="P42" s="2">
        <f>D42/F42*H42*J42*L42*N42</f>
        <v>161.55676800000018</v>
      </c>
      <c r="Q42" s="1" t="s">
        <v>182</v>
      </c>
    </row>
    <row r="43" hidden="1">
      <c r="B43" s="1" t="s">
        <v>278</v>
      </c>
      <c r="C43" s="1" t="s">
        <v>31</v>
      </c>
      <c r="D43" s="1">
        <v>0.5</v>
      </c>
      <c r="E43" s="1" t="s">
        <v>69</v>
      </c>
      <c r="F43" s="1">
        <v>0.3</v>
      </c>
      <c r="G43" s="1" t="s">
        <v>69</v>
      </c>
      <c r="H43" s="1">
        <v>0.6</v>
      </c>
      <c r="I43" s="1" t="s">
        <v>69</v>
      </c>
      <c r="J43" s="1">
        <v>3.14</v>
      </c>
      <c r="K43" s="1" t="s">
        <v>69</v>
      </c>
      <c r="L43" s="1">
        <v>0.8</v>
      </c>
      <c r="M43" s="1" t="s">
        <v>69</v>
      </c>
      <c r="N43" s="1">
        <v>24</v>
      </c>
      <c r="O43" s="1" t="s">
        <v>31</v>
      </c>
      <c r="P43" s="2">
        <f>D43*F43*H43*J43*L43*N43</f>
        <v>5.4259200000000005</v>
      </c>
      <c r="Q43" s="1" t="s">
        <v>182</v>
      </c>
    </row>
    <row r="44">
      <c r="B44" s="1" t="s">
        <v>279</v>
      </c>
      <c r="C44" s="1" t="s">
        <v>31</v>
      </c>
      <c r="D44" s="1">
        <v>0.5</v>
      </c>
      <c r="E44" s="1" t="s">
        <v>69</v>
      </c>
      <c r="F44" s="1">
        <v>0.6</v>
      </c>
      <c r="G44" s="1" t="s">
        <v>69</v>
      </c>
      <c r="H44" s="1">
        <f>F43</f>
        <v>0.3</v>
      </c>
      <c r="I44" s="1" t="s">
        <v>69</v>
      </c>
      <c r="J44" s="1">
        <v>24</v>
      </c>
      <c r="O44" s="1" t="s">
        <v>31</v>
      </c>
      <c r="P44" s="2">
        <f>J44*H44*F44*D44</f>
        <v>2.1599999999999997</v>
      </c>
      <c r="Q44" s="1" t="s">
        <v>182</v>
      </c>
    </row>
    <row r="45">
      <c r="C45" s="1" t="s">
        <v>31</v>
      </c>
      <c r="D45" s="1">
        <v>3.14</v>
      </c>
      <c r="E45" s="1" t="s">
        <v>85</v>
      </c>
      <c r="F45" s="4">
        <v>4</v>
      </c>
      <c r="G45" s="1" t="s">
        <v>69</v>
      </c>
      <c r="H45" s="1">
        <v>1.2</v>
      </c>
      <c r="I45" s="1" t="s">
        <v>69</v>
      </c>
      <c r="J45" s="1">
        <v>1.2</v>
      </c>
      <c r="K45" s="1" t="s">
        <v>69</v>
      </c>
      <c r="L45" s="1">
        <v>0.6</v>
      </c>
      <c r="M45" s="1" t="s">
        <v>69</v>
      </c>
      <c r="N45" s="1">
        <v>24</v>
      </c>
      <c r="O45" s="1" t="s">
        <v>31</v>
      </c>
      <c r="P45" s="2">
        <f>D45/F45*H45*J45*L45*N45</f>
        <v>16.277759999999997</v>
      </c>
      <c r="Q45" s="1" t="s">
        <v>182</v>
      </c>
    </row>
    <row r="46">
      <c r="B46" s="1" t="s">
        <v>149</v>
      </c>
      <c r="P46" s="2">
        <f>SUM(P39:P45)</f>
        <v>1493.9138880000019</v>
      </c>
      <c r="Q46" s="1" t="s">
        <v>182</v>
      </c>
    </row>
    <row r="47"/>
    <row r="48">
      <c r="B48" s="1" t="s">
        <v>280</v>
      </c>
      <c r="C48" s="1" t="s">
        <v>31</v>
      </c>
      <c r="P48" s="2">
        <v>0</v>
      </c>
      <c r="Q48" s="1" t="s">
        <v>182</v>
      </c>
    </row>
    <row r="49">
      <c r="B49" s="1" t="s">
        <v>281</v>
      </c>
      <c r="C49" s="1" t="s">
        <v>31</v>
      </c>
      <c r="D49" s="1">
        <f>P46</f>
        <v>1493.9138880000019</v>
      </c>
      <c r="E49" s="1" t="s">
        <v>114</v>
      </c>
      <c r="F49" s="1">
        <f>P48</f>
        <v>0</v>
      </c>
      <c r="O49" s="1" t="s">
        <v>31</v>
      </c>
      <c r="P49" s="2">
        <f>P46-P48</f>
        <v>1493.9138880000019</v>
      </c>
      <c r="Q49" s="1" t="s">
        <v>182</v>
      </c>
    </row>
    <row r="50"/>
    <row r="51">
      <c r="B51" s="1" t="s">
        <v>282</v>
      </c>
      <c r="C51" s="1" t="s">
        <v>31</v>
      </c>
      <c r="D51" s="1">
        <f>P48</f>
        <v>0</v>
      </c>
      <c r="E51" s="1" t="s">
        <v>283</v>
      </c>
      <c r="F51" s="1">
        <f>P49</f>
        <v>1493.9138880000019</v>
      </c>
      <c r="G51" s="1" t="s">
        <v>69</v>
      </c>
      <c r="H51" s="1">
        <v>22.5</v>
      </c>
      <c r="I51" s="1" t="s">
        <v>85</v>
      </c>
      <c r="J51" s="1">
        <v>24</v>
      </c>
      <c r="K51" s="1" t="s">
        <v>83</v>
      </c>
      <c r="O51" s="1" t="s">
        <v>31</v>
      </c>
      <c r="P51" s="2">
        <f>P48+P49*2.25/2.4</f>
        <v>1400.544270000002</v>
      </c>
      <c r="Q51" s="1" t="s">
        <v>182</v>
      </c>
    </row>
    <row r="52">
      <c r="B52" s="1" t="s">
        <v>284</v>
      </c>
      <c r="D52" s="1" t="s">
        <v>285</v>
      </c>
      <c r="E52" s="1">
        <f>'STABILITY CHECK FOR PIER'!E7+2*(M63+M64+M65)</f>
        <v>12</v>
      </c>
      <c r="F52" s="1" t="s">
        <v>286</v>
      </c>
      <c r="G52" s="1">
        <f>'afflux calculation'!B62+2*(M63+M64+M66)</f>
        <v>3.8</v>
      </c>
      <c r="H52" s="1" t="s">
        <v>286</v>
      </c>
      <c r="J52" s="1">
        <v>1</v>
      </c>
      <c r="K52" s="1" t="s">
        <v>70</v>
      </c>
    </row>
    <row r="53">
      <c r="B53" s="1" t="s">
        <v>287</v>
      </c>
      <c r="C53" s="1" t="s">
        <v>31</v>
      </c>
      <c r="D53" s="1">
        <f>E52</f>
        <v>12</v>
      </c>
      <c r="E53" s="1" t="s">
        <v>69</v>
      </c>
      <c r="F53" s="1">
        <f>G52</f>
        <v>3.8</v>
      </c>
      <c r="G53" s="1" t="s">
        <v>69</v>
      </c>
      <c r="H53" s="1">
        <f>J52</f>
        <v>1</v>
      </c>
      <c r="I53" s="1" t="s">
        <v>69</v>
      </c>
      <c r="J53" s="1">
        <v>24</v>
      </c>
      <c r="O53" s="1" t="s">
        <v>31</v>
      </c>
      <c r="P53" s="2">
        <f>J53*H53*F53*D53</f>
        <v>1094.3999999999999</v>
      </c>
      <c r="Q53" s="1" t="s">
        <v>182</v>
      </c>
    </row>
    <row r="54">
      <c r="B54" s="1" t="s">
        <v>288</v>
      </c>
      <c r="C54" s="1" t="s">
        <v>31</v>
      </c>
      <c r="D54" s="1">
        <f>D53</f>
        <v>12</v>
      </c>
      <c r="E54" s="1" t="s">
        <f>E53</f>
        <v>69</v>
      </c>
      <c r="F54" s="1">
        <f>F53</f>
        <v>3.8</v>
      </c>
      <c r="G54" s="1" t="s">
        <f>G53</f>
        <v>69</v>
      </c>
      <c r="H54" s="1">
        <f>H53</f>
        <v>1</v>
      </c>
      <c r="I54" s="1" t="s">
        <f>I53</f>
        <v>69</v>
      </c>
      <c r="J54" s="1">
        <v>14</v>
      </c>
      <c r="O54" s="1" t="s">
        <f>O53</f>
        <v>31</v>
      </c>
      <c r="P54" s="2">
        <f>J54*H54*F54*D54</f>
        <v>638.4</v>
      </c>
      <c r="Q54" s="1" t="s">
        <f>Q53</f>
        <v>182</v>
      </c>
    </row>
    <row r="55">
      <c r="B55" s="1" t="s">
        <v>289</v>
      </c>
    </row>
    <row r="56">
      <c r="C56" s="1" t="s">
        <v>31</v>
      </c>
      <c r="D56" s="1">
        <f>P37</f>
        <v>232.8912</v>
      </c>
      <c r="E56" s="1" t="s">
        <v>126</v>
      </c>
      <c r="F56" s="1">
        <f>P46</f>
        <v>1493.9138880000019</v>
      </c>
      <c r="G56" s="1" t="s">
        <v>126</v>
      </c>
      <c r="H56" s="1">
        <f>P53</f>
        <v>1094.3999999999999</v>
      </c>
      <c r="O56" s="1" t="s">
        <v>31</v>
      </c>
      <c r="P56" s="2">
        <f>H56+F56+D56</f>
        <v>2821.2050880000015</v>
      </c>
      <c r="Q56" s="1" t="s">
        <v>182</v>
      </c>
    </row>
    <row r="57" hidden="1">
      <c r="B57" s="1" t="s">
        <v>278</v>
      </c>
      <c r="C57" s="1" t="s">
        <v>31</v>
      </c>
      <c r="D57" s="1">
        <v>0.5</v>
      </c>
      <c r="E57" s="1" t="s">
        <v>69</v>
      </c>
      <c r="F57" s="1">
        <v>0.3</v>
      </c>
      <c r="G57" s="1" t="s">
        <v>69</v>
      </c>
      <c r="H57" s="1">
        <v>0.6</v>
      </c>
      <c r="I57" s="1" t="s">
        <v>69</v>
      </c>
      <c r="J57" s="1">
        <v>3.14</v>
      </c>
      <c r="K57" s="1" t="s">
        <v>69</v>
      </c>
      <c r="L57" s="1">
        <v>0.8</v>
      </c>
      <c r="M57" s="1" t="s">
        <v>69</v>
      </c>
      <c r="N57" s="1">
        <v>24</v>
      </c>
      <c r="O57" s="1" t="s">
        <v>31</v>
      </c>
      <c r="P57" s="2">
        <f>D57*F57*H57*J57*L57*N57</f>
        <v>5.4259200000000005</v>
      </c>
      <c r="Q57" s="1" t="s">
        <v>182</v>
      </c>
    </row>
    <row r="58">
      <c r="B58" s="1" t="s">
        <v>290</v>
      </c>
    </row>
    <row r="59">
      <c r="C59" s="1" t="s">
        <v>31</v>
      </c>
      <c r="D59" s="1">
        <f>D56</f>
        <v>232.8912</v>
      </c>
      <c r="E59" s="1" t="s">
        <v>126</v>
      </c>
      <c r="F59" s="1">
        <f>P51</f>
        <v>1400.544270000002</v>
      </c>
      <c r="G59" s="1" t="s">
        <v>126</v>
      </c>
      <c r="H59" s="1">
        <f>P54</f>
        <v>638.4</v>
      </c>
      <c r="O59" s="1" t="s">
        <v>31</v>
      </c>
      <c r="P59" s="2">
        <f>H59+F59+D59</f>
        <v>2271.835470000002</v>
      </c>
      <c r="Q59" s="1" t="s">
        <v>182</v>
      </c>
    </row>
    <row r="60"/>
    <row r="61">
      <c r="A61" s="4" t="s">
        <v>291</v>
      </c>
      <c r="B61" s="1" t="s">
        <v>292</v>
      </c>
    </row>
    <row r="62" ht="33.75" customHeight="1">
      <c r="B62" s="1" t="s">
        <v>293</v>
      </c>
      <c r="C62" s="1" t="s">
        <v>31</v>
      </c>
      <c r="D62" s="1">
        <f>F63</f>
        <v>788.2663473053892</v>
      </c>
      <c r="E62" s="1" t="s">
        <v>69</v>
      </c>
      <c r="F62" s="1">
        <v>1</v>
      </c>
      <c r="G62" s="1" t="s">
        <v>31</v>
      </c>
      <c r="H62" s="1">
        <f>D62*F62</f>
        <v>788.2663473053892</v>
      </c>
      <c r="J62" s="1" t="s">
        <v>182</v>
      </c>
    </row>
    <row r="63" ht="37.5" customHeight="1">
      <c r="B63" s="1" t="s">
        <v>294</v>
      </c>
      <c r="C63" s="1" t="s">
        <v>31</v>
      </c>
      <c r="D63" s="1">
        <f>'LL-ABSTRACT'!H2</f>
        <v>78.82663473053893</v>
      </c>
      <c r="E63" s="1" t="s">
        <v>295</v>
      </c>
      <c r="F63" s="1">
        <f>D63*10</f>
        <v>788.2663473053892</v>
      </c>
      <c r="G63" s="1" t="s">
        <v>182</v>
      </c>
      <c r="L63" s="1" t="s">
        <v>296</v>
      </c>
      <c r="M63" s="1">
        <v>0.6</v>
      </c>
      <c r="N63" s="1" t="s">
        <v>70</v>
      </c>
    </row>
    <row r="64">
      <c r="L64" s="1" t="s">
        <v>297</v>
      </c>
      <c r="M64" s="1">
        <v>0.2</v>
      </c>
      <c r="N64" s="1" t="s">
        <v>70</v>
      </c>
    </row>
    <row r="65">
      <c r="B65" s="1" t="s">
        <v>298</v>
      </c>
      <c r="L65" s="1" t="s">
        <v>299</v>
      </c>
      <c r="M65" s="1">
        <v>1</v>
      </c>
      <c r="N65" s="1" t="s">
        <v>70</v>
      </c>
    </row>
    <row r="66" ht="47.25" customHeight="1">
      <c r="B66" s="1" t="s">
        <v>300</v>
      </c>
      <c r="C66" s="1" t="s">
        <v>31</v>
      </c>
      <c r="D66" s="1">
        <f>F68</f>
        <v>122.12665868263474</v>
      </c>
      <c r="E66" s="1" t="s">
        <v>69</v>
      </c>
      <c r="F66" s="1">
        <v>2</v>
      </c>
      <c r="G66" s="1" t="s">
        <v>31</v>
      </c>
      <c r="H66" s="1">
        <f>D66*F66</f>
        <v>244.25331736526948</v>
      </c>
      <c r="J66" s="1" t="s">
        <v>301</v>
      </c>
      <c r="L66" s="1" t="s">
        <v>302</v>
      </c>
      <c r="M66" s="1">
        <f>M65/2</f>
        <v>0.5</v>
      </c>
      <c r="N66" s="1" t="s">
        <v>70</v>
      </c>
    </row>
    <row r="67" ht="25.5" customHeight="1">
      <c r="B67" s="1" t="s">
        <v>303</v>
      </c>
      <c r="C67" s="1" t="s">
        <v>31</v>
      </c>
      <c r="D67" s="1">
        <f>'LL-ABSTRACT'!H4</f>
        <v>12.212665868263475</v>
      </c>
      <c r="E67" s="1" t="s">
        <v>304</v>
      </c>
    </row>
    <row r="68">
      <c r="E68" s="1" t="s">
        <v>305</v>
      </c>
      <c r="F68" s="1">
        <f>D67*10</f>
        <v>122.12665868263474</v>
      </c>
      <c r="G68" s="1" t="s">
        <v>301</v>
      </c>
      <c r="M68" s="1">
        <f>'abstract of stresses'!D9</f>
        <v>138.66109635051396</v>
      </c>
      <c r="N68" s="1" t="s">
        <v>306</v>
      </c>
    </row>
    <row r="69">
      <c r="M69" s="1">
        <f>'abstract of stresses'!F9</f>
        <v>59.565540394928775</v>
      </c>
    </row>
    <row r="70">
      <c r="B70" s="1" t="s">
        <v>307</v>
      </c>
    </row>
    <row r="71" ht="45.75" customHeight="1">
      <c r="B71" s="1" t="s">
        <v>308</v>
      </c>
      <c r="C71" s="1" t="s">
        <v>31</v>
      </c>
      <c r="D71" s="1">
        <f>F73</f>
        <v>1123.9405976047906</v>
      </c>
      <c r="E71" s="1" t="s">
        <v>69</v>
      </c>
      <c r="F71" s="1">
        <v>2</v>
      </c>
      <c r="G71" s="1" t="s">
        <v>31</v>
      </c>
      <c r="H71" s="1">
        <f>D71*F71</f>
        <v>2247.881195209581</v>
      </c>
      <c r="J71" s="1" t="s">
        <v>301</v>
      </c>
    </row>
    <row r="72" ht="25.5" customHeight="1">
      <c r="B72" s="1" t="s">
        <v>303</v>
      </c>
      <c r="C72" s="1" t="s">
        <v>31</v>
      </c>
      <c r="D72" s="1">
        <f>'LL-ABSTRACT'!H6</f>
        <v>112.39405976047905</v>
      </c>
      <c r="E72" s="1" t="s">
        <v>304</v>
      </c>
    </row>
    <row r="73">
      <c r="E73" s="1" t="s">
        <v>305</v>
      </c>
      <c r="F73" s="1">
        <f>D72*10</f>
        <v>1123.9405976047906</v>
      </c>
      <c r="G73" s="1" t="s">
        <v>301</v>
      </c>
    </row>
    <row r="74"/>
    <row r="75">
      <c r="A75" s="4" t="s">
        <v>309</v>
      </c>
      <c r="B75" s="1" t="s">
        <v>310</v>
      </c>
    </row>
    <row r="76">
      <c r="B76" s="1" t="s">
        <v>311</v>
      </c>
    </row>
    <row r="77">
      <c r="B77" s="1" t="s">
        <v>192</v>
      </c>
      <c r="D77" s="1" t="s">
        <v>193</v>
      </c>
      <c r="E77" s="1">
        <f>E15</f>
        <v>1.8354679471127884</v>
      </c>
      <c r="F77" s="1" t="s">
        <f>F15</f>
        <v>131</v>
      </c>
    </row>
    <row r="78" ht="36.75" customHeight="1">
      <c r="B78" s="1" t="s">
        <v>312</v>
      </c>
    </row>
    <row r="79" ht="51" customHeight="1">
      <c r="B79" s="1" t="s">
        <v>313</v>
      </c>
      <c r="C79" s="1" t="s">
        <v>31</v>
      </c>
      <c r="D79" s="1">
        <f>E77</f>
        <v>1.8354679471127884</v>
      </c>
      <c r="E79" s="1" t="s">
        <v>69</v>
      </c>
      <c r="F79" s="1" t="s">
        <v>314</v>
      </c>
      <c r="H79" s="1" t="s">
        <v>315</v>
      </c>
      <c r="K79" s="1" t="s">
        <v>31</v>
      </c>
      <c r="M79" s="1" t="s">
        <v>69</v>
      </c>
      <c r="N79" s="1" t="s">
        <v>316</v>
      </c>
    </row>
    <row r="80">
      <c r="C80" s="1" t="s">
        <v>31</v>
      </c>
      <c r="D80" s="1">
        <f>D79*SIN(20*3.14/180)</f>
        <v>0.6274617816037061</v>
      </c>
      <c r="K80" s="1" t="s">
        <v>31</v>
      </c>
    </row>
    <row r="81" ht="15" customHeight="1">
      <c r="B81" s="1" t="s">
        <v>198</v>
      </c>
      <c r="C81" s="1" t="s">
        <v>31</v>
      </c>
      <c r="D81" s="1">
        <f>D80^2*2</f>
        <v>0.787416574746594</v>
      </c>
      <c r="J81" s="1" t="s">
        <v>198</v>
      </c>
      <c r="K81" s="1" t="s">
        <v>31</v>
      </c>
    </row>
    <row r="82">
      <c r="B82" s="1" t="s">
        <v>317</v>
      </c>
      <c r="C82" s="1" t="s">
        <v>31</v>
      </c>
      <c r="D82" s="1">
        <f>E8-E18</f>
        <v>7.13000000000001</v>
      </c>
      <c r="E82" s="1" t="s">
        <v>70</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198</v>
      </c>
      <c r="C84" s="1" t="s">
        <v>318</v>
      </c>
      <c r="D84" s="1">
        <f>F82</f>
        <v>0.787416574746594</v>
      </c>
      <c r="E84" s="1" t="s">
        <v>126</v>
      </c>
      <c r="F84" s="1">
        <f>G82</f>
        <v>0.679740395170447</v>
      </c>
      <c r="G84" s="1" t="s">
        <v>319</v>
      </c>
      <c r="H84" s="1">
        <f>(D84+F84)/2</f>
        <v>0.7335784849585205</v>
      </c>
      <c r="L84" s="1" t="s">
        <v>320</v>
      </c>
      <c r="M84" s="1" t="s">
        <v>321</v>
      </c>
    </row>
    <row r="85">
      <c r="B85" s="1" t="s">
        <v>202</v>
      </c>
      <c r="C85" s="1" t="s">
        <v>31</v>
      </c>
      <c r="D85" s="1">
        <f>'afflux calculation'!C18</f>
        <v>12</v>
      </c>
      <c r="E85" s="1" t="s">
        <v>69</v>
      </c>
      <c r="F85" s="1">
        <v>0</v>
      </c>
      <c r="G85" s="1" t="s">
        <v>31</v>
      </c>
      <c r="H85" s="1">
        <f>D85*F85</f>
        <v>0</v>
      </c>
      <c r="I85" s="1" t="s">
        <v>180</v>
      </c>
    </row>
    <row r="86"/>
    <row r="87" ht="14.25" customHeight="1">
      <c r="B87" s="1" t="s">
        <v>322</v>
      </c>
      <c r="C87" s="1" t="s">
        <v>31</v>
      </c>
      <c r="D87" s="1">
        <v>52</v>
      </c>
      <c r="E87" s="1" t="s">
        <v>69</v>
      </c>
      <c r="F87" s="1" t="s">
        <v>204</v>
      </c>
      <c r="G87" s="1" t="s">
        <v>69</v>
      </c>
      <c r="H87" s="1" t="s">
        <v>205</v>
      </c>
      <c r="I87" s="1" t="s">
        <v>69</v>
      </c>
      <c r="J87" s="1" t="s">
        <v>202</v>
      </c>
    </row>
    <row r="88">
      <c r="C88" s="1" t="s">
        <v>31</v>
      </c>
      <c r="D88" s="1">
        <f>D87</f>
        <v>52</v>
      </c>
      <c r="E88" s="1" t="s">
        <v>69</v>
      </c>
      <c r="F88" s="1">
        <v>1.5</v>
      </c>
      <c r="G88" s="1" t="s">
        <v>69</v>
      </c>
      <c r="H88" s="1">
        <f>H84</f>
        <v>0.7335784849585205</v>
      </c>
      <c r="I88" s="1" t="s">
        <v>69</v>
      </c>
      <c r="J88" s="1">
        <f>H85</f>
        <v>0</v>
      </c>
      <c r="K88" s="1" t="s">
        <v>206</v>
      </c>
      <c r="L88" s="1" t="s">
        <v>31</v>
      </c>
      <c r="M88" s="1">
        <f>D88*F88*H88*J88/100</f>
        <v>0</v>
      </c>
      <c r="N88" s="1" t="s">
        <v>182</v>
      </c>
      <c r="O88" s="1" t="s">
        <v>323</v>
      </c>
      <c r="P88" s="2">
        <f>$E$21-('Deck Anchorage'!$H$11+'Deck Anchorage'!$H$12)/2</f>
        <v>101.1875</v>
      </c>
      <c r="Q88" s="1" t="s">
        <v>70</v>
      </c>
    </row>
    <row r="89">
      <c r="B89" s="1" t="s">
        <v>324</v>
      </c>
      <c r="D89" s="1">
        <f>D90+0.6</f>
        <v>93.56999999999998</v>
      </c>
      <c r="E89" s="1" t="s">
        <v>325</v>
      </c>
      <c r="F89" s="1">
        <f>$M$88</f>
        <v>0</v>
      </c>
      <c r="G89" s="1" t="s">
        <v>69</v>
      </c>
      <c r="H89" s="1">
        <f>$P$88-D89</f>
        <v>7.617500000000021</v>
      </c>
      <c r="I89" s="1" t="s">
        <v>31</v>
      </c>
      <c r="J89" s="1">
        <f>F89*H89</f>
        <v>0</v>
      </c>
      <c r="K89" s="1" t="s">
        <v>301</v>
      </c>
      <c r="N89" s="1" t="s">
        <v>326</v>
      </c>
    </row>
    <row r="90">
      <c r="B90" s="1" t="s">
        <v>324</v>
      </c>
      <c r="D90" s="1">
        <f>D91+1</f>
        <v>92.96999999999998</v>
      </c>
      <c r="E90" s="1" t="s">
        <v>325</v>
      </c>
      <c r="F90" s="1">
        <f>$M$88</f>
        <v>0</v>
      </c>
      <c r="G90" s="1" t="s">
        <v>69</v>
      </c>
      <c r="H90" s="1">
        <f>$P$88-D90</f>
        <v>8.217500000000015</v>
      </c>
      <c r="I90" s="1" t="s">
        <v>31</v>
      </c>
      <c r="J90" s="1">
        <f>F90*H90</f>
        <v>0</v>
      </c>
      <c r="K90" s="1" t="s">
        <v>301</v>
      </c>
    </row>
    <row r="91">
      <c r="B91" s="1" t="s">
        <v>324</v>
      </c>
      <c r="D91" s="1">
        <f>$E$20</f>
        <v>91.96999999999998</v>
      </c>
      <c r="E91" s="1" t="s">
        <v>325</v>
      </c>
      <c r="F91" s="1">
        <f>$M$88</f>
        <v>0</v>
      </c>
      <c r="G91" s="1" t="s">
        <v>69</v>
      </c>
      <c r="H91" s="1">
        <f>$P$88-D91</f>
        <v>9.217500000000015</v>
      </c>
      <c r="I91" s="1" t="s">
        <v>31</v>
      </c>
      <c r="J91" s="1">
        <f>F91*H91</f>
        <v>0</v>
      </c>
      <c r="K91" s="1" t="s">
        <v>301</v>
      </c>
    </row>
    <row r="92">
      <c r="B92" s="1" t="e">
        <f>CONCAT("FORCE ON PIER CAP BETWEEN  ",$E$21-'Deck Anchorage'!$H$11-'Deck Anchorage'!$H$12,"  M to Soffit Level  ",$E$21-'Deck Anchorage'!$H$11-'Deck Anchorage'!$H$12-$F$94, " M")</f>
        <v>#NAME?</v>
      </c>
    </row>
    <row r="93" ht="14.25" customHeight="1">
      <c r="B93" s="1" t="s">
        <v>198</v>
      </c>
      <c r="C93" s="1" t="s">
        <v>318</v>
      </c>
      <c r="D93" s="1">
        <f>G82</f>
        <v>0.679740395170447</v>
      </c>
      <c r="E93" s="1" t="s">
        <v>126</v>
      </c>
      <c r="F93" s="1">
        <f>H82</f>
        <v>0.6659357567632487</v>
      </c>
      <c r="G93" s="1" t="s">
        <v>319</v>
      </c>
      <c r="H93" s="1">
        <f>(D93+F93)/2</f>
        <v>0.6728380759668479</v>
      </c>
      <c r="L93" s="1" t="s">
        <v>321</v>
      </c>
      <c r="M93" s="1" t="s">
        <v>327</v>
      </c>
    </row>
    <row r="94">
      <c r="B94" s="1" t="s">
        <v>202</v>
      </c>
      <c r="C94" s="1" t="s">
        <v>31</v>
      </c>
      <c r="D94" s="1">
        <f>D85</f>
        <v>12</v>
      </c>
      <c r="E94" s="1" t="s">
        <v>69</v>
      </c>
      <c r="F94" s="1">
        <v>0.6</v>
      </c>
      <c r="G94" s="1" t="s">
        <v>31</v>
      </c>
      <c r="H94" s="1">
        <f>D94*F94</f>
        <v>7.199999999999999</v>
      </c>
      <c r="I94" s="1" t="s">
        <v>180</v>
      </c>
    </row>
    <row r="95"/>
    <row r="96" ht="14.25" customHeight="1">
      <c r="B96" s="1" t="s">
        <v>322</v>
      </c>
      <c r="C96" s="1" t="s">
        <v>31</v>
      </c>
      <c r="D96" s="1">
        <v>52</v>
      </c>
      <c r="E96" s="1" t="s">
        <v>69</v>
      </c>
      <c r="F96" s="1" t="s">
        <v>204</v>
      </c>
      <c r="G96" s="1" t="s">
        <v>69</v>
      </c>
      <c r="H96" s="1" t="s">
        <v>205</v>
      </c>
      <c r="I96" s="1" t="s">
        <v>69</v>
      </c>
      <c r="J96" s="1" t="s">
        <v>202</v>
      </c>
    </row>
    <row r="97">
      <c r="C97" s="1" t="s">
        <v>31</v>
      </c>
      <c r="D97" s="1">
        <f>D96</f>
        <v>52</v>
      </c>
      <c r="E97" s="1" t="s">
        <v>69</v>
      </c>
      <c r="F97" s="1">
        <v>1.5</v>
      </c>
      <c r="G97" s="1" t="s">
        <v>69</v>
      </c>
      <c r="H97" s="1">
        <f>H93</f>
        <v>0.6728380759668479</v>
      </c>
      <c r="I97" s="1" t="s">
        <v>69</v>
      </c>
      <c r="J97" s="1">
        <f>H94</f>
        <v>7.199999999999999</v>
      </c>
      <c r="K97" s="1" t="s">
        <v>206</v>
      </c>
      <c r="L97" s="1" t="s">
        <v>31</v>
      </c>
      <c r="M97" s="1">
        <f>D97*F97*H97*J97/100</f>
        <v>3.778658634629817</v>
      </c>
      <c r="N97" s="1" t="s">
        <v>182</v>
      </c>
      <c r="O97" s="1" t="s">
        <v>323</v>
      </c>
      <c r="P97" s="2">
        <f>$E$21-'Deck Anchorage'!$H$11-'Deck Anchorage'!$H$12-$F$94/2</f>
        <v>100.475</v>
      </c>
      <c r="Q97" s="1" t="s">
        <v>70</v>
      </c>
    </row>
    <row r="98">
      <c r="B98" s="1" t="s">
        <v>324</v>
      </c>
      <c r="D98" s="1">
        <f>D99+0.6</f>
        <v>93.56999999999998</v>
      </c>
      <c r="E98" s="1" t="s">
        <v>325</v>
      </c>
      <c r="F98" s="1">
        <f>$M$97</f>
        <v>3.778658634629817</v>
      </c>
      <c r="G98" s="1" t="s">
        <v>69</v>
      </c>
      <c r="H98" s="1">
        <f>$P$97-D98</f>
        <v>6.905000000000015</v>
      </c>
      <c r="I98" s="1" t="s">
        <v>31</v>
      </c>
      <c r="J98" s="1">
        <f>F98*H98</f>
        <v>26.091637872118945</v>
      </c>
      <c r="K98" s="1" t="s">
        <v>301</v>
      </c>
      <c r="N98" s="1" t="s">
        <v>328</v>
      </c>
    </row>
    <row r="99">
      <c r="B99" s="1" t="s">
        <v>324</v>
      </c>
      <c r="D99" s="1">
        <f>D100+1</f>
        <v>92.96999999999998</v>
      </c>
      <c r="E99" s="1" t="s">
        <v>325</v>
      </c>
      <c r="F99" s="1">
        <f>$M$97</f>
        <v>3.778658634629817</v>
      </c>
      <c r="G99" s="1" t="s">
        <v>69</v>
      </c>
      <c r="H99" s="1">
        <f>$P$97-D99</f>
        <v>7.50500000000001</v>
      </c>
      <c r="I99" s="1" t="s">
        <v>31</v>
      </c>
      <c r="J99" s="1">
        <f>F99*H99</f>
        <v>28.358833052896816</v>
      </c>
      <c r="K99" s="1" t="s">
        <v>301</v>
      </c>
    </row>
    <row r="100">
      <c r="B100" s="1" t="s">
        <v>324</v>
      </c>
      <c r="D100" s="1">
        <f>$E$20</f>
        <v>91.96999999999998</v>
      </c>
      <c r="E100" s="1" t="s">
        <v>325</v>
      </c>
      <c r="F100" s="1">
        <f>$M$97</f>
        <v>3.778658634629817</v>
      </c>
      <c r="G100" s="1" t="s">
        <v>69</v>
      </c>
      <c r="H100" s="1">
        <f>$P$97-D100</f>
        <v>8.50500000000001</v>
      </c>
      <c r="I100" s="1" t="s">
        <v>31</v>
      </c>
      <c r="J100" s="1">
        <f>F100*H100</f>
        <v>32.137491687526634</v>
      </c>
      <c r="K100" s="1" t="s">
        <v>301</v>
      </c>
    </row>
    <row r="101">
      <c r="B101" s="1" t="e">
        <f>CONCAT("FORCE ON PIER BETWEEN  ",$E$21-'Deck Anchorage'!$H$11-'Deck Anchorage'!$H$12-$F$94,"  M to   ",$E$20+$E$19, " M")</f>
        <v>#NAME?</v>
      </c>
    </row>
    <row r="102" ht="14.25" customHeight="1">
      <c r="B102" s="1" t="s">
        <v>198</v>
      </c>
      <c r="C102" s="1" t="s">
        <v>318</v>
      </c>
      <c r="D102" s="1">
        <f>H82</f>
        <v>0.6659357567632487</v>
      </c>
      <c r="E102" s="1" t="s">
        <v>126</v>
      </c>
      <c r="F102" s="1">
        <v>0</v>
      </c>
      <c r="G102" s="1" t="s">
        <v>319</v>
      </c>
      <c r="H102" s="1">
        <f>(D102+F102)/2</f>
        <v>0.33296787838162434</v>
      </c>
      <c r="L102" s="1" t="s">
        <v>327</v>
      </c>
      <c r="M102" s="1" t="s">
        <v>329</v>
      </c>
    </row>
    <row r="103">
      <c r="B103" s="1" t="s">
        <v>202</v>
      </c>
      <c r="C103" s="1" t="s">
        <v>31</v>
      </c>
      <c r="D103" s="1">
        <f>98.925-91.59</f>
        <v>7.334999999999994</v>
      </c>
      <c r="E103" s="1" t="s">
        <v>69</v>
      </c>
      <c r="F103" s="1">
        <f>F41+1.2</f>
        <v>8.7</v>
      </c>
      <c r="G103" s="1" t="s">
        <v>31</v>
      </c>
      <c r="H103" s="1">
        <f>D103*F103</f>
        <v>63.81449999999994</v>
      </c>
      <c r="I103" s="1" t="s">
        <v>180</v>
      </c>
    </row>
    <row r="104"/>
    <row r="105" ht="14.25" customHeight="1">
      <c r="B105" s="1" t="s">
        <v>322</v>
      </c>
      <c r="C105" s="1" t="s">
        <v>31</v>
      </c>
      <c r="D105" s="1">
        <v>52</v>
      </c>
      <c r="E105" s="1" t="s">
        <v>69</v>
      </c>
      <c r="F105" s="1" t="s">
        <v>204</v>
      </c>
      <c r="G105" s="1" t="s">
        <v>69</v>
      </c>
      <c r="H105" s="1" t="s">
        <v>205</v>
      </c>
      <c r="I105" s="1" t="s">
        <v>69</v>
      </c>
      <c r="J105" s="1" t="s">
        <v>202</v>
      </c>
    </row>
    <row r="106">
      <c r="C106" s="1" t="s">
        <v>31</v>
      </c>
      <c r="D106" s="1">
        <f>D105</f>
        <v>52</v>
      </c>
      <c r="E106" s="1" t="s">
        <v>69</v>
      </c>
      <c r="F106" s="1">
        <v>1.5</v>
      </c>
      <c r="G106" s="1" t="s">
        <v>69</v>
      </c>
      <c r="H106" s="1">
        <f>H102</f>
        <v>0.33296787838162434</v>
      </c>
      <c r="I106" s="1" t="s">
        <v>69</v>
      </c>
      <c r="J106" s="1">
        <f>H103</f>
        <v>63.81449999999994</v>
      </c>
      <c r="K106" s="1" t="s">
        <v>206</v>
      </c>
      <c r="L106" s="1" t="s">
        <v>31</v>
      </c>
      <c r="M106" s="1">
        <f>D106*F106*H106*J106/100</f>
        <v>16.573579366487635</v>
      </c>
      <c r="N106" s="1" t="s">
        <v>182</v>
      </c>
      <c r="O106" s="1" t="s">
        <v>323</v>
      </c>
      <c r="P106" s="2">
        <f>(($E$21-'Deck Anchorage'!$H$11-'Deck Anchorage'!$H$12-$F$94)+($E$20+$E$19))/2</f>
        <v>96.82249999999999</v>
      </c>
      <c r="Q106" s="1" t="s">
        <v>70</v>
      </c>
    </row>
    <row r="107">
      <c r="B107" s="1" t="s">
        <v>324</v>
      </c>
      <c r="D107" s="1">
        <f>D108+0.6</f>
        <v>93.56999999999998</v>
      </c>
      <c r="E107" s="1" t="s">
        <v>325</v>
      </c>
      <c r="F107" s="1">
        <f>$M$106</f>
        <v>16.573579366487635</v>
      </c>
      <c r="G107" s="1" t="s">
        <v>69</v>
      </c>
      <c r="H107" s="1">
        <f>$P$106-D107</f>
        <v>3.252500000000012</v>
      </c>
      <c r="I107" s="1" t="s">
        <v>31</v>
      </c>
      <c r="J107" s="1">
        <f>F107*H107</f>
        <v>53.90556688950123</v>
      </c>
      <c r="K107" s="1" t="s">
        <v>301</v>
      </c>
      <c r="N107" s="1" t="s">
        <v>330</v>
      </c>
    </row>
    <row r="108">
      <c r="B108" s="1" t="s">
        <v>324</v>
      </c>
      <c r="D108" s="1">
        <f>D109+J52</f>
        <v>92.96999999999998</v>
      </c>
      <c r="E108" s="1" t="s">
        <v>325</v>
      </c>
      <c r="F108" s="1">
        <f>$M$106</f>
        <v>16.573579366487635</v>
      </c>
      <c r="G108" s="1" t="s">
        <v>69</v>
      </c>
      <c r="H108" s="1">
        <f>$P$106-D108</f>
        <v>3.8525000000000063</v>
      </c>
      <c r="I108" s="1" t="s">
        <v>31</v>
      </c>
      <c r="J108" s="1">
        <f>F108*H108</f>
        <v>63.84971450939372</v>
      </c>
      <c r="K108" s="1" t="s">
        <v>301</v>
      </c>
    </row>
    <row r="109">
      <c r="B109" s="1" t="s">
        <v>324</v>
      </c>
      <c r="D109" s="1">
        <f>$E$20</f>
        <v>91.96999999999998</v>
      </c>
      <c r="E109" s="1" t="s">
        <v>325</v>
      </c>
      <c r="F109" s="1">
        <f>$M$106</f>
        <v>16.573579366487635</v>
      </c>
      <c r="G109" s="1" t="s">
        <v>69</v>
      </c>
      <c r="H109" s="1">
        <f>$P$106-D109</f>
        <v>4.852500000000006</v>
      </c>
      <c r="I109" s="1" t="s">
        <v>31</v>
      </c>
      <c r="J109" s="1">
        <f>F109*H109</f>
        <v>80.42329387588136</v>
      </c>
      <c r="K109" s="1" t="s">
        <v>301</v>
      </c>
    </row>
    <row r="110"/>
    <row r="111">
      <c r="B111" s="1" t="s">
        <v>331</v>
      </c>
    </row>
    <row r="112">
      <c r="B112" s="1" t="s">
        <v>324</v>
      </c>
      <c r="D112" s="1">
        <f>D107</f>
        <v>93.56999999999998</v>
      </c>
      <c r="E112" s="1" t="s">
        <v>325</v>
      </c>
      <c r="F112" s="1">
        <f>J89</f>
        <v>0</v>
      </c>
      <c r="G112" s="1" t="s">
        <v>126</v>
      </c>
      <c r="H112" s="1">
        <f>J98</f>
        <v>26.091637872118945</v>
      </c>
    </row>
    <row r="113">
      <c r="G113" s="1" t="s">
        <v>126</v>
      </c>
      <c r="H113" s="1">
        <f>J107</f>
        <v>53.90556688950123</v>
      </c>
      <c r="I113" s="1" t="s">
        <v>31</v>
      </c>
      <c r="J113" s="1">
        <f>F112+H112+H113</f>
        <v>79.99720476162017</v>
      </c>
      <c r="K113" s="1" t="s">
        <v>301</v>
      </c>
    </row>
    <row r="114">
      <c r="B114" s="1" t="s">
        <v>324</v>
      </c>
      <c r="D114" s="1">
        <f>D108</f>
        <v>92.96999999999998</v>
      </c>
      <c r="E114" s="1" t="s">
        <v>325</v>
      </c>
      <c r="F114" s="1">
        <f>J90</f>
        <v>0</v>
      </c>
      <c r="G114" s="1" t="s">
        <v>126</v>
      </c>
      <c r="H114" s="1">
        <f>J99</f>
        <v>28.358833052896816</v>
      </c>
    </row>
    <row r="115">
      <c r="G115" s="1" t="s">
        <v>126</v>
      </c>
      <c r="H115" s="1">
        <f>J108</f>
        <v>63.84971450939372</v>
      </c>
      <c r="I115" s="1" t="s">
        <v>31</v>
      </c>
      <c r="J115" s="1">
        <f>F114+H114+H115</f>
        <v>92.20854756229053</v>
      </c>
      <c r="K115" s="1" t="s">
        <v>301</v>
      </c>
    </row>
    <row r="116">
      <c r="B116" s="1" t="s">
        <v>324</v>
      </c>
      <c r="D116" s="1">
        <f>$E$20</f>
        <v>91.96999999999998</v>
      </c>
      <c r="E116" s="1" t="s">
        <v>325</v>
      </c>
      <c r="F116" s="1">
        <f>J91</f>
        <v>0</v>
      </c>
      <c r="G116" s="1" t="s">
        <v>126</v>
      </c>
      <c r="H116" s="1">
        <f>J100</f>
        <v>32.137491687526634</v>
      </c>
    </row>
    <row r="117">
      <c r="G117" s="1" t="s">
        <v>126</v>
      </c>
      <c r="H117" s="1">
        <f>J109</f>
        <v>80.42329387588136</v>
      </c>
      <c r="I117" s="1" t="s">
        <v>31</v>
      </c>
      <c r="J117" s="1">
        <f>F116+H116+H117</f>
        <v>112.56078556340799</v>
      </c>
      <c r="K117" s="1" t="s">
        <v>301</v>
      </c>
    </row>
    <row r="118">
      <c r="B118" s="1" t="s">
        <v>191</v>
      </c>
    </row>
    <row r="119">
      <c r="B119" s="1" t="s">
        <v>192</v>
      </c>
      <c r="D119" s="1" t="s">
        <v>193</v>
      </c>
      <c r="E119" s="1">
        <f>E77</f>
        <v>1.8354679471127884</v>
      </c>
      <c r="F119" s="1" t="s">
        <f>F77</f>
        <v>131</v>
      </c>
      <c r="G119" s="1" t="s">
        <v>194</v>
      </c>
      <c r="M119" s="1" t="s">
        <v>195</v>
      </c>
    </row>
    <row r="120">
      <c r="B120" s="1" t="s">
        <v>196</v>
      </c>
      <c r="C120" s="1" t="s">
        <v>31</v>
      </c>
      <c r="D120" s="1">
        <f>E119</f>
        <v>1.8354679471127884</v>
      </c>
      <c r="E120" s="1" t="s">
        <v>69</v>
      </c>
      <c r="F120" s="1" t="s">
        <v>197</v>
      </c>
    </row>
    <row r="121">
      <c r="C121" s="1" t="s">
        <v>31</v>
      </c>
      <c r="D121" s="1">
        <f>D120*COS(20*3.14/180)</f>
        <v>1.7248867491824316</v>
      </c>
    </row>
    <row r="122">
      <c r="B122" s="1" t="s">
        <v>198</v>
      </c>
      <c r="C122" s="1" t="s">
        <v>31</v>
      </c>
      <c r="D122" s="1">
        <f>D121^2*2</f>
        <v>5.950468595010273</v>
      </c>
    </row>
    <row r="123">
      <c r="B123" s="1" t="s">
        <v>175</v>
      </c>
      <c r="C123" s="1" t="s">
        <v>31</v>
      </c>
      <c r="D123" s="1">
        <f>D82</f>
        <v>7.13000000000001</v>
      </c>
      <c r="E123" s="1" t="s">
        <v>70</v>
      </c>
      <c r="F123" s="1">
        <f>D122</f>
        <v>5.950468595010273</v>
      </c>
      <c r="G123" s="1">
        <f>$F$123*($D$123-0.975)/$D$123</f>
        <v>5.136764965257817</v>
      </c>
      <c r="H123" s="1">
        <f>$F$123*($D$123-1.1)/$D$123</f>
        <v>5.0324439870844255</v>
      </c>
      <c r="J123" s="1">
        <v>0</v>
      </c>
    </row>
    <row r="124">
      <c r="B124" s="1" t="e">
        <f>B83</f>
        <v>#NAME?</v>
      </c>
    </row>
    <row r="125" ht="14.25" customHeight="1">
      <c r="B125" s="1" t="s">
        <v>198</v>
      </c>
      <c r="C125" s="1" t="s">
        <v>318</v>
      </c>
      <c r="D125" s="1">
        <f>F123</f>
        <v>5.950468595010273</v>
      </c>
      <c r="E125" s="1" t="s">
        <v>126</v>
      </c>
      <c r="F125" s="1">
        <f>G123</f>
        <v>5.136764965257817</v>
      </c>
      <c r="G125" s="1" t="s">
        <v>319</v>
      </c>
      <c r="H125" s="1">
        <f>(D125+F125)/2</f>
        <v>5.543616780134045</v>
      </c>
    </row>
    <row r="126">
      <c r="B126" s="1" t="s">
        <v>202</v>
      </c>
      <c r="C126" s="1" t="s">
        <v>31</v>
      </c>
      <c r="D126" s="1">
        <f>D28</f>
        <v>8.799999999999999</v>
      </c>
      <c r="E126" s="1" t="s">
        <v>69</v>
      </c>
      <c r="F126" s="2">
        <v>0</v>
      </c>
      <c r="G126" s="1" t="s">
        <v>31</v>
      </c>
      <c r="H126" s="1">
        <f>D126*F126</f>
        <v>0</v>
      </c>
      <c r="I126" s="1" t="s">
        <v>180</v>
      </c>
    </row>
    <row r="127"/>
    <row r="128" ht="14.25" customHeight="1">
      <c r="B128" s="1" t="s">
        <v>332</v>
      </c>
      <c r="C128" s="1" t="s">
        <v>31</v>
      </c>
      <c r="D128" s="1">
        <v>52</v>
      </c>
      <c r="E128" s="1" t="s">
        <v>69</v>
      </c>
      <c r="F128" s="1" t="s">
        <v>204</v>
      </c>
      <c r="G128" s="1" t="s">
        <v>69</v>
      </c>
      <c r="H128" s="1" t="s">
        <v>205</v>
      </c>
      <c r="I128" s="1" t="s">
        <v>69</v>
      </c>
      <c r="J128" s="1" t="s">
        <v>202</v>
      </c>
    </row>
    <row r="129">
      <c r="C129" s="1" t="s">
        <v>31</v>
      </c>
      <c r="D129" s="1">
        <f>D128</f>
        <v>52</v>
      </c>
      <c r="E129" s="1" t="s">
        <v>69</v>
      </c>
      <c r="F129" s="1">
        <v>1.5</v>
      </c>
      <c r="G129" s="1" t="s">
        <v>69</v>
      </c>
      <c r="H129" s="1">
        <f>H125</f>
        <v>5.543616780134045</v>
      </c>
      <c r="I129" s="1" t="s">
        <v>69</v>
      </c>
      <c r="J129" s="1">
        <f>H126</f>
        <v>0</v>
      </c>
      <c r="K129" s="1" t="s">
        <v>206</v>
      </c>
      <c r="L129" s="1" t="s">
        <v>31</v>
      </c>
      <c r="M129" s="1">
        <f>D129*F129*H129*J129/100</f>
        <v>0</v>
      </c>
      <c r="N129" s="1" t="s">
        <v>182</v>
      </c>
      <c r="O129" s="1" t="s">
        <v>323</v>
      </c>
      <c r="P129" s="2">
        <f>P88</f>
        <v>101.1875</v>
      </c>
      <c r="Q129" s="1" t="s">
        <v>70</v>
      </c>
    </row>
    <row r="130">
      <c r="B130" s="1" t="s">
        <v>324</v>
      </c>
      <c r="D130" s="1">
        <f>D131+0.6</f>
        <v>93.56999999999998</v>
      </c>
      <c r="E130" s="1" t="s">
        <v>325</v>
      </c>
      <c r="F130" s="1">
        <f>$M$88</f>
        <v>0</v>
      </c>
      <c r="G130" s="1" t="s">
        <v>69</v>
      </c>
      <c r="H130" s="1">
        <f>$P$129-D130</f>
        <v>7.617500000000021</v>
      </c>
      <c r="I130" s="1" t="s">
        <v>31</v>
      </c>
      <c r="J130" s="1">
        <f>F130*H130</f>
        <v>0</v>
      </c>
      <c r="K130" s="1" t="s">
        <v>301</v>
      </c>
    </row>
    <row r="131">
      <c r="B131" s="1" t="s">
        <v>324</v>
      </c>
      <c r="D131" s="1">
        <f>D132+1</f>
        <v>92.96999999999998</v>
      </c>
      <c r="E131" s="1" t="s">
        <v>325</v>
      </c>
      <c r="F131" s="1">
        <f>$M$88</f>
        <v>0</v>
      </c>
      <c r="G131" s="1" t="s">
        <v>69</v>
      </c>
      <c r="H131" s="1">
        <f>$P$129-D131</f>
        <v>8.217500000000015</v>
      </c>
      <c r="I131" s="1" t="s">
        <v>31</v>
      </c>
      <c r="J131" s="1">
        <f>F131*H131</f>
        <v>0</v>
      </c>
      <c r="K131" s="1" t="s">
        <v>301</v>
      </c>
    </row>
    <row r="132">
      <c r="B132" s="1" t="s">
        <v>324</v>
      </c>
      <c r="D132" s="1">
        <f>$E$20</f>
        <v>91.96999999999998</v>
      </c>
      <c r="E132" s="1" t="s">
        <v>325</v>
      </c>
      <c r="F132" s="1">
        <f>$M$88</f>
        <v>0</v>
      </c>
      <c r="G132" s="1" t="s">
        <v>69</v>
      </c>
      <c r="H132" s="1">
        <f>$P$129-D132</f>
        <v>9.217500000000015</v>
      </c>
      <c r="I132" s="1" t="s">
        <v>31</v>
      </c>
      <c r="J132" s="1">
        <f>F132*H132</f>
        <v>0</v>
      </c>
      <c r="K132" s="1" t="s">
        <v>301</v>
      </c>
    </row>
    <row r="133">
      <c r="B133" s="1" t="e">
        <f>B92</f>
        <v>#NAME?</v>
      </c>
    </row>
    <row r="134" ht="14.25" customHeight="1">
      <c r="B134" s="1" t="s">
        <v>198</v>
      </c>
      <c r="C134" s="1" t="s">
        <v>318</v>
      </c>
      <c r="D134" s="1">
        <f>G123</f>
        <v>5.136764965257817</v>
      </c>
      <c r="E134" s="1" t="s">
        <v>126</v>
      </c>
      <c r="F134" s="1">
        <f>H123</f>
        <v>5.0324439870844255</v>
      </c>
      <c r="G134" s="1" t="s">
        <v>319</v>
      </c>
      <c r="H134" s="1">
        <f>(D134+F134)/2</f>
        <v>5.084604476171121</v>
      </c>
    </row>
    <row r="135">
      <c r="B135" s="1" t="s">
        <v>202</v>
      </c>
      <c r="C135" s="1" t="s">
        <v>31</v>
      </c>
      <c r="D135" s="1">
        <v>1.5</v>
      </c>
      <c r="E135" s="1" t="s">
        <v>69</v>
      </c>
      <c r="F135" s="1">
        <v>0.6</v>
      </c>
      <c r="G135" s="1" t="s">
        <v>31</v>
      </c>
      <c r="H135" s="1">
        <f>D135*F135</f>
        <v>0.8999999999999999</v>
      </c>
      <c r="I135" s="1" t="s">
        <v>180</v>
      </c>
    </row>
    <row r="136"/>
    <row r="137" ht="14.25" customHeight="1">
      <c r="B137" s="1" t="s">
        <v>322</v>
      </c>
      <c r="C137" s="1" t="s">
        <v>31</v>
      </c>
      <c r="D137" s="1">
        <v>52</v>
      </c>
      <c r="E137" s="1" t="s">
        <v>69</v>
      </c>
      <c r="F137" s="1" t="s">
        <v>204</v>
      </c>
      <c r="G137" s="1" t="s">
        <v>69</v>
      </c>
      <c r="H137" s="1" t="s">
        <v>205</v>
      </c>
      <c r="I137" s="1" t="s">
        <v>69</v>
      </c>
      <c r="J137" s="1" t="s">
        <v>202</v>
      </c>
    </row>
    <row r="138">
      <c r="C138" s="1" t="s">
        <v>31</v>
      </c>
      <c r="D138" s="1">
        <f>D137</f>
        <v>52</v>
      </c>
      <c r="E138" s="1" t="s">
        <v>69</v>
      </c>
      <c r="F138" s="1">
        <v>1.5</v>
      </c>
      <c r="G138" s="1" t="s">
        <v>69</v>
      </c>
      <c r="H138" s="1">
        <f>H134</f>
        <v>5.084604476171121</v>
      </c>
      <c r="I138" s="1" t="s">
        <v>69</v>
      </c>
      <c r="J138" s="1">
        <f>H135</f>
        <v>0.8999999999999999</v>
      </c>
      <c r="K138" s="1" t="s">
        <v>206</v>
      </c>
      <c r="L138" s="1" t="s">
        <v>31</v>
      </c>
      <c r="M138" s="1">
        <f>D138*F138*H138*J138/100</f>
        <v>3.5693923422721263</v>
      </c>
      <c r="N138" s="1" t="s">
        <v>182</v>
      </c>
      <c r="O138" s="1" t="s">
        <v>323</v>
      </c>
      <c r="P138" s="2">
        <f>P97</f>
        <v>100.475</v>
      </c>
      <c r="Q138" s="1" t="s">
        <v>70</v>
      </c>
    </row>
    <row r="139">
      <c r="B139" s="1" t="s">
        <v>324</v>
      </c>
      <c r="D139" s="1">
        <f>D140+0.6</f>
        <v>93.56999999999998</v>
      </c>
      <c r="E139" s="1" t="s">
        <v>325</v>
      </c>
      <c r="F139" s="1">
        <f>$M$97</f>
        <v>3.778658634629817</v>
      </c>
      <c r="G139" s="1" t="s">
        <v>69</v>
      </c>
      <c r="H139" s="1">
        <f>$P$138-D139</f>
        <v>6.905000000000015</v>
      </c>
      <c r="I139" s="1" t="s">
        <v>31</v>
      </c>
      <c r="J139" s="1">
        <f>F139*H139</f>
        <v>26.091637872118945</v>
      </c>
      <c r="K139" s="1" t="s">
        <v>301</v>
      </c>
    </row>
    <row r="140">
      <c r="B140" s="1" t="s">
        <v>324</v>
      </c>
      <c r="D140" s="1">
        <f>D141+1</f>
        <v>92.96999999999998</v>
      </c>
      <c r="E140" s="1" t="s">
        <v>325</v>
      </c>
      <c r="F140" s="1">
        <f>$M$97</f>
        <v>3.778658634629817</v>
      </c>
      <c r="G140" s="1" t="s">
        <v>69</v>
      </c>
      <c r="H140" s="1">
        <f>$P$138-D140</f>
        <v>7.50500000000001</v>
      </c>
      <c r="I140" s="1" t="s">
        <v>31</v>
      </c>
      <c r="J140" s="1">
        <f>F140*H140</f>
        <v>28.358833052896816</v>
      </c>
      <c r="K140" s="1" t="s">
        <v>301</v>
      </c>
    </row>
    <row r="141">
      <c r="B141" s="1" t="s">
        <v>324</v>
      </c>
      <c r="D141" s="1">
        <f>$E$20</f>
        <v>91.96999999999998</v>
      </c>
      <c r="E141" s="1" t="s">
        <v>325</v>
      </c>
      <c r="F141" s="1">
        <f>$M$97</f>
        <v>3.778658634629817</v>
      </c>
      <c r="G141" s="1" t="s">
        <v>69</v>
      </c>
      <c r="H141" s="1">
        <f>$P$138-D141</f>
        <v>8.50500000000001</v>
      </c>
      <c r="I141" s="1" t="s">
        <v>31</v>
      </c>
      <c r="J141" s="1">
        <f>F141*H141</f>
        <v>32.137491687526634</v>
      </c>
      <c r="K141" s="1" t="s">
        <v>301</v>
      </c>
    </row>
    <row r="142">
      <c r="B142" s="1" t="e">
        <f>B101</f>
        <v>#NAME?</v>
      </c>
    </row>
    <row r="143" ht="14.25" customHeight="1">
      <c r="B143" s="1" t="s">
        <v>198</v>
      </c>
      <c r="C143" s="1" t="s">
        <v>318</v>
      </c>
      <c r="D143" s="1">
        <f>H123</f>
        <v>5.0324439870844255</v>
      </c>
      <c r="E143" s="1" t="s">
        <v>126</v>
      </c>
      <c r="F143" s="1">
        <v>0</v>
      </c>
      <c r="G143" s="1" t="s">
        <v>319</v>
      </c>
      <c r="H143" s="1">
        <f>(D143+F143)/2</f>
        <v>2.5162219935422128</v>
      </c>
    </row>
    <row r="144">
      <c r="B144" s="1" t="s">
        <v>202</v>
      </c>
      <c r="C144" s="1" t="s">
        <v>31</v>
      </c>
      <c r="D144" s="1">
        <f>98.925-91.59</f>
        <v>7.334999999999994</v>
      </c>
      <c r="E144" s="1" t="s">
        <v>69</v>
      </c>
      <c r="F144" s="1">
        <f>F83+1.2</f>
        <v>1.2</v>
      </c>
      <c r="G144" s="1" t="s">
        <v>31</v>
      </c>
      <c r="H144" s="1">
        <f>D144*F144</f>
        <v>8.801999999999992</v>
      </c>
      <c r="I144" s="1" t="s">
        <v>180</v>
      </c>
    </row>
    <row r="145"/>
    <row r="146" ht="14.25" customHeight="1">
      <c r="B146" s="1" t="s">
        <v>322</v>
      </c>
      <c r="C146" s="1" t="s">
        <v>31</v>
      </c>
      <c r="D146" s="1">
        <v>52</v>
      </c>
      <c r="E146" s="1" t="s">
        <v>69</v>
      </c>
      <c r="F146" s="1" t="s">
        <v>204</v>
      </c>
      <c r="G146" s="1" t="s">
        <v>69</v>
      </c>
      <c r="H146" s="1" t="s">
        <v>205</v>
      </c>
      <c r="I146" s="1" t="s">
        <v>69</v>
      </c>
      <c r="J146" s="1" t="s">
        <v>202</v>
      </c>
    </row>
    <row r="147">
      <c r="C147" s="1" t="s">
        <v>31</v>
      </c>
      <c r="D147" s="1">
        <f>D146</f>
        <v>52</v>
      </c>
      <c r="E147" s="1" t="s">
        <v>69</v>
      </c>
      <c r="F147" s="1">
        <v>1.5</v>
      </c>
      <c r="G147" s="1" t="s">
        <v>69</v>
      </c>
      <c r="H147" s="1">
        <f>H143</f>
        <v>2.5162219935422128</v>
      </c>
      <c r="I147" s="1" t="s">
        <v>69</v>
      </c>
      <c r="J147" s="1">
        <f>H144</f>
        <v>8.801999999999992</v>
      </c>
      <c r="K147" s="1" t="s">
        <v>206</v>
      </c>
      <c r="L147" s="1" t="s">
        <v>31</v>
      </c>
      <c r="M147" s="1">
        <f>D147*F147*H147*J147/100</f>
        <v>17.27527306998366</v>
      </c>
      <c r="N147" s="1" t="s">
        <v>182</v>
      </c>
      <c r="O147" s="1" t="s">
        <v>323</v>
      </c>
      <c r="P147" s="2">
        <f>P106</f>
        <v>96.82249999999999</v>
      </c>
      <c r="Q147" s="1" t="s">
        <v>70</v>
      </c>
    </row>
    <row r="148">
      <c r="B148" s="1" t="s">
        <v>324</v>
      </c>
      <c r="D148" s="1">
        <f>D149+0.6</f>
        <v>93.56999999999998</v>
      </c>
      <c r="E148" s="1" t="s">
        <v>325</v>
      </c>
      <c r="F148" s="1">
        <f>$M$106</f>
        <v>16.573579366487635</v>
      </c>
      <c r="G148" s="1" t="s">
        <v>69</v>
      </c>
      <c r="H148" s="1">
        <f>$P$106-D148</f>
        <v>3.252500000000012</v>
      </c>
      <c r="I148" s="1" t="s">
        <v>31</v>
      </c>
      <c r="J148" s="1">
        <f>F148*H148</f>
        <v>53.90556688950123</v>
      </c>
      <c r="K148" s="1" t="s">
        <v>301</v>
      </c>
    </row>
    <row r="149">
      <c r="B149" s="1" t="s">
        <v>324</v>
      </c>
      <c r="D149" s="1">
        <f>D150+1</f>
        <v>92.96999999999998</v>
      </c>
      <c r="E149" s="1" t="s">
        <v>325</v>
      </c>
      <c r="F149" s="1">
        <f>$M$106</f>
        <v>16.573579366487635</v>
      </c>
      <c r="G149" s="1" t="s">
        <v>69</v>
      </c>
      <c r="H149" s="1">
        <f>$P$106-D149</f>
        <v>3.8525000000000063</v>
      </c>
      <c r="I149" s="1" t="s">
        <v>31</v>
      </c>
      <c r="J149" s="1">
        <f>F149*H149</f>
        <v>63.84971450939372</v>
      </c>
      <c r="K149" s="1" t="s">
        <v>301</v>
      </c>
    </row>
    <row r="150">
      <c r="B150" s="1" t="s">
        <v>324</v>
      </c>
      <c r="D150" s="1">
        <f>$E$20</f>
        <v>91.96999999999998</v>
      </c>
      <c r="E150" s="1" t="s">
        <v>325</v>
      </c>
      <c r="F150" s="1">
        <f>$M$106</f>
        <v>16.573579366487635</v>
      </c>
      <c r="G150" s="1" t="s">
        <v>69</v>
      </c>
      <c r="H150" s="1">
        <f>$P$106-D150</f>
        <v>4.852500000000006</v>
      </c>
      <c r="I150" s="1" t="s">
        <v>31</v>
      </c>
      <c r="J150" s="1">
        <f>F150*H150</f>
        <v>80.42329387588136</v>
      </c>
      <c r="K150" s="1" t="s">
        <v>301</v>
      </c>
    </row>
    <row r="151"/>
    <row r="152">
      <c r="B152" s="1" t="s">
        <v>333</v>
      </c>
    </row>
    <row r="153">
      <c r="B153" s="1" t="s">
        <v>324</v>
      </c>
      <c r="D153" s="1">
        <f>D155+0.6</f>
        <v>93.56999999999998</v>
      </c>
      <c r="E153" s="1" t="s">
        <v>325</v>
      </c>
      <c r="F153" s="1">
        <f>J130</f>
        <v>0</v>
      </c>
      <c r="G153" s="1" t="s">
        <v>126</v>
      </c>
      <c r="H153" s="1">
        <f>J139</f>
        <v>26.091637872118945</v>
      </c>
      <c r="I153" s="1" t="s">
        <v>31</v>
      </c>
    </row>
    <row r="154">
      <c r="G154" s="1" t="s">
        <v>126</v>
      </c>
      <c r="H154" s="1">
        <f>J148</f>
        <v>53.90556688950123</v>
      </c>
      <c r="J154" s="1">
        <f>F153+H153+H154</f>
        <v>79.99720476162017</v>
      </c>
      <c r="K154" s="1" t="s">
        <v>301</v>
      </c>
    </row>
    <row r="155">
      <c r="B155" s="1" t="s">
        <v>324</v>
      </c>
      <c r="D155" s="1">
        <f>D157+1</f>
        <v>92.96999999999998</v>
      </c>
      <c r="E155" s="1" t="s">
        <v>325</v>
      </c>
      <c r="F155" s="1">
        <f>J131</f>
        <v>0</v>
      </c>
      <c r="G155" s="1" t="s">
        <v>126</v>
      </c>
      <c r="H155" s="1">
        <f>J140</f>
        <v>28.358833052896816</v>
      </c>
      <c r="I155" s="1" t="s">
        <v>31</v>
      </c>
    </row>
    <row r="156">
      <c r="G156" s="1" t="s">
        <v>126</v>
      </c>
      <c r="H156" s="1">
        <f>J149</f>
        <v>63.84971450939372</v>
      </c>
      <c r="J156" s="1">
        <f>F155+H155+H156</f>
        <v>92.20854756229053</v>
      </c>
      <c r="K156" s="1" t="s">
        <v>301</v>
      </c>
    </row>
    <row r="157">
      <c r="B157" s="1" t="s">
        <v>324</v>
      </c>
      <c r="D157" s="1">
        <f>$E$20</f>
        <v>91.96999999999998</v>
      </c>
      <c r="E157" s="1" t="s">
        <v>325</v>
      </c>
      <c r="F157" s="1">
        <f>J132</f>
        <v>0</v>
      </c>
      <c r="G157" s="1" t="s">
        <v>126</v>
      </c>
      <c r="H157" s="1">
        <f>J141</f>
        <v>32.137491687526634</v>
      </c>
      <c r="I157" s="1" t="s">
        <v>31</v>
      </c>
    </row>
    <row r="158">
      <c r="G158" s="1" t="s">
        <v>126</v>
      </c>
      <c r="H158" s="1">
        <f>J150</f>
        <v>80.42329387588136</v>
      </c>
      <c r="J158" s="1">
        <f>F157+H157+H158</f>
        <v>112.56078556340799</v>
      </c>
      <c r="K158" s="1" t="s">
        <v>301</v>
      </c>
    </row>
    <row r="159">
      <c r="A159" s="4" t="s">
        <v>334</v>
      </c>
      <c r="B159" s="1" t="s">
        <v>335</v>
      </c>
    </row>
    <row r="160" ht="44.25" customHeight="1">
      <c r="B160" s="1" t="s">
        <v>336</v>
      </c>
    </row>
    <row r="161">
      <c r="A161" s="4" t="s">
        <v>337</v>
      </c>
      <c r="B161" s="1" t="s">
        <v>338</v>
      </c>
    </row>
    <row r="162">
      <c r="B162" s="1" t="s">
        <v>339</v>
      </c>
    </row>
    <row r="163">
      <c r="B163" s="1" t="s">
        <v>340</v>
      </c>
      <c r="C163" s="1" t="s">
        <v>31</v>
      </c>
      <c r="D163" s="1">
        <v>11.1</v>
      </c>
      <c r="E163" s="1" t="s">
        <v>69</v>
      </c>
      <c r="F163" s="1">
        <v>0.975</v>
      </c>
      <c r="L163" s="1" t="s">
        <v>31</v>
      </c>
      <c r="M163" s="1">
        <f>D163*F163</f>
        <v>10.8225</v>
      </c>
      <c r="N163" s="1" t="s">
        <v>180</v>
      </c>
    </row>
    <row r="164">
      <c r="B164" s="1" t="s">
        <v>341</v>
      </c>
      <c r="C164" s="1" t="s">
        <v>31</v>
      </c>
      <c r="D164" s="1">
        <f>P129</f>
        <v>101.1875</v>
      </c>
      <c r="E164" s="1" t="s">
        <v>114</v>
      </c>
      <c r="F164" s="1">
        <f>$E$16</f>
        <v>96.46999999999998</v>
      </c>
      <c r="G164" s="1" t="s">
        <v>31</v>
      </c>
      <c r="H164" s="1">
        <f>D164-F164</f>
        <v>4.717500000000015</v>
      </c>
      <c r="I164" s="1" t="s">
        <v>63</v>
      </c>
    </row>
    <row r="165">
      <c r="B165" s="1" t="s">
        <v>342</v>
      </c>
      <c r="D165" s="1" t="s">
        <v>343</v>
      </c>
      <c r="F165" s="1">
        <f>130+(141-130)*(H164-25)/(30-25)</f>
        <v>85.37850000000003</v>
      </c>
      <c r="G165" s="1" t="s">
        <v>344</v>
      </c>
      <c r="H165" s="1" t="s">
        <v>31</v>
      </c>
      <c r="J165" s="1">
        <f>F165*10/1000</f>
        <v>0.8537850000000003</v>
      </c>
      <c r="K165" s="1" t="s">
        <v>178</v>
      </c>
    </row>
    <row r="166">
      <c r="B166" s="1" t="s">
        <v>345</v>
      </c>
      <c r="C166" s="1" t="s">
        <v>31</v>
      </c>
      <c r="D166" s="1">
        <f>M163</f>
        <v>10.8225</v>
      </c>
      <c r="E166" s="1" t="s">
        <v>69</v>
      </c>
      <c r="F166" s="1">
        <f>J165</f>
        <v>0.8537850000000003</v>
      </c>
      <c r="L166" s="1" t="s">
        <v>31</v>
      </c>
      <c r="M166" s="1">
        <f>D166*F166</f>
        <v>9.240088162500003</v>
      </c>
      <c r="N166" s="1" t="s">
        <v>182</v>
      </c>
    </row>
    <row r="167">
      <c r="B167" s="1" t="s">
        <v>324</v>
      </c>
      <c r="D167" s="1">
        <f>D168+0.6</f>
        <v>93.56999999999998</v>
      </c>
      <c r="E167" s="1" t="s">
        <v>325</v>
      </c>
      <c r="F167" s="1">
        <f>$M$166</f>
        <v>9.240088162500003</v>
      </c>
      <c r="G167" s="1" t="s">
        <v>69</v>
      </c>
      <c r="H167" s="1">
        <f>$D$164-D167</f>
        <v>7.617500000000021</v>
      </c>
      <c r="I167" s="1" t="s">
        <v>31</v>
      </c>
      <c r="J167" s="1">
        <f>F167*H167</f>
        <v>70.38637157784396</v>
      </c>
      <c r="K167" s="1" t="s">
        <v>301</v>
      </c>
    </row>
    <row r="168">
      <c r="B168" s="1" t="s">
        <v>324</v>
      </c>
      <c r="D168" s="1">
        <f>D169+1</f>
        <v>92.96999999999998</v>
      </c>
      <c r="E168" s="1" t="s">
        <v>325</v>
      </c>
      <c r="F168" s="1">
        <f>$M$166</f>
        <v>9.240088162500003</v>
      </c>
      <c r="G168" s="1" t="s">
        <v>69</v>
      </c>
      <c r="H168" s="1">
        <f>$D$164-D168</f>
        <v>8.217500000000015</v>
      </c>
      <c r="I168" s="1" t="s">
        <v>31</v>
      </c>
      <c r="J168" s="1">
        <f>F168*H168</f>
        <v>75.93042447534391</v>
      </c>
      <c r="K168" s="1" t="s">
        <v>301</v>
      </c>
    </row>
    <row r="169">
      <c r="B169" s="1" t="s">
        <v>324</v>
      </c>
      <c r="D169" s="1">
        <f>$E$20</f>
        <v>91.96999999999998</v>
      </c>
      <c r="E169" s="1" t="s">
        <v>325</v>
      </c>
      <c r="F169" s="1">
        <f>$M$166</f>
        <v>9.240088162500003</v>
      </c>
      <c r="G169" s="1" t="s">
        <v>69</v>
      </c>
      <c r="H169" s="1">
        <f>$D$164-D169</f>
        <v>9.217500000000015</v>
      </c>
      <c r="I169" s="1" t="s">
        <v>31</v>
      </c>
      <c r="J169" s="1">
        <f>F169*H169</f>
        <v>85.17051263784391</v>
      </c>
      <c r="K169" s="1" t="s">
        <v>301</v>
      </c>
    </row>
    <row r="170">
      <c r="B170" s="1" t="s">
        <v>271</v>
      </c>
    </row>
    <row r="171">
      <c r="B171" s="1" t="s">
        <v>346</v>
      </c>
      <c r="C171" s="1" t="s">
        <v>31</v>
      </c>
      <c r="D171" s="1">
        <v>1.5</v>
      </c>
      <c r="E171" s="1" t="s">
        <v>69</v>
      </c>
      <c r="F171" s="1">
        <v>0.6</v>
      </c>
      <c r="L171" s="1" t="s">
        <v>31</v>
      </c>
      <c r="M171" s="1">
        <f>D171*F171</f>
        <v>0.8999999999999999</v>
      </c>
      <c r="N171" s="1" t="s">
        <v>180</v>
      </c>
    </row>
    <row r="172">
      <c r="B172" s="1" t="s">
        <v>347</v>
      </c>
      <c r="C172" s="1" t="s">
        <v>31</v>
      </c>
      <c r="D172" s="1">
        <v>1.35</v>
      </c>
      <c r="E172" s="1" t="s">
        <v>69</v>
      </c>
      <c r="F172" s="1">
        <v>0.6</v>
      </c>
      <c r="L172" s="1" t="s">
        <v>31</v>
      </c>
      <c r="M172" s="1">
        <f>D172*F172</f>
        <v>0.81</v>
      </c>
      <c r="N172" s="1" t="s">
        <v>180</v>
      </c>
    </row>
    <row r="173">
      <c r="L173" s="1" t="s">
        <v>71</v>
      </c>
      <c r="M173" s="1">
        <f>SUM(M171:M172)</f>
        <v>1.71</v>
      </c>
      <c r="N173" s="1" t="s">
        <v>180</v>
      </c>
    </row>
    <row r="174">
      <c r="B174" s="1" t="s">
        <v>348</v>
      </c>
      <c r="C174" s="1" t="s">
        <v>318</v>
      </c>
      <c r="D174" s="1">
        <f>M171</f>
        <v>0.8999999999999999</v>
      </c>
      <c r="E174" s="1" t="s">
        <v>69</v>
      </c>
      <c r="F174" s="1">
        <v>0.9</v>
      </c>
      <c r="G174" s="1" t="s">
        <v>349</v>
      </c>
      <c r="H174" s="1">
        <f>M172</f>
        <v>0.81</v>
      </c>
      <c r="I174" s="1" t="s">
        <v>69</v>
      </c>
      <c r="J174" s="1">
        <v>0.3</v>
      </c>
      <c r="K174" s="1" t="s">
        <v>350</v>
      </c>
      <c r="L174" s="1">
        <f>M173</f>
        <v>1.71</v>
      </c>
      <c r="M174" s="1">
        <f>((M171*0.9)+(M172*0.3))/M173</f>
        <v>0.6157894736842106</v>
      </c>
      <c r="N174" s="1" t="s">
        <v>70</v>
      </c>
    </row>
    <row r="175"/>
    <row r="176">
      <c r="B176" s="1" t="s">
        <v>341</v>
      </c>
      <c r="C176" s="1" t="s">
        <v>31</v>
      </c>
      <c r="D176" s="1">
        <f>P138</f>
        <v>100.475</v>
      </c>
      <c r="E176" s="1" t="s">
        <v>114</v>
      </c>
      <c r="F176" s="1">
        <f>$E$16</f>
        <v>96.46999999999998</v>
      </c>
      <c r="G176" s="1" t="s">
        <v>31</v>
      </c>
      <c r="H176" s="1">
        <f>D176-F176</f>
        <v>4.00500000000001</v>
      </c>
      <c r="I176" s="1" t="s">
        <v>63</v>
      </c>
    </row>
    <row r="177">
      <c r="B177" s="1" t="s">
        <v>342</v>
      </c>
      <c r="D177" s="1" t="s">
        <v>343</v>
      </c>
      <c r="F177" s="1">
        <f>119+(130-119)*(H176-20)/(25-20)</f>
        <v>83.81100000000002</v>
      </c>
      <c r="G177" s="1" t="s">
        <v>344</v>
      </c>
      <c r="H177" s="1" t="s">
        <v>31</v>
      </c>
      <c r="J177" s="1">
        <f>F177*10/1000</f>
        <v>0.8381100000000002</v>
      </c>
      <c r="K177" s="1" t="s">
        <v>178</v>
      </c>
    </row>
    <row r="178">
      <c r="B178" s="1" t="s">
        <v>345</v>
      </c>
      <c r="C178" s="1" t="s">
        <v>31</v>
      </c>
      <c r="D178" s="1">
        <f>M173</f>
        <v>1.71</v>
      </c>
      <c r="E178" s="1" t="s">
        <v>69</v>
      </c>
      <c r="F178" s="1">
        <f>J177</f>
        <v>0.8381100000000002</v>
      </c>
      <c r="L178" s="1" t="s">
        <v>31</v>
      </c>
      <c r="M178" s="1">
        <f>D178*F178</f>
        <v>1.4331681000000003</v>
      </c>
      <c r="N178" s="1" t="s">
        <v>182</v>
      </c>
    </row>
    <row r="179">
      <c r="B179" s="1" t="s">
        <v>324</v>
      </c>
      <c r="D179" s="1">
        <f>D180+0.6</f>
        <v>93.56999999999998</v>
      </c>
      <c r="E179" s="1" t="s">
        <v>325</v>
      </c>
      <c r="F179" s="1">
        <f>$M$178</f>
        <v>1.4331681000000003</v>
      </c>
      <c r="G179" s="1" t="s">
        <v>69</v>
      </c>
      <c r="H179" s="1">
        <f>$D$176-D179</f>
        <v>6.905000000000015</v>
      </c>
      <c r="I179" s="1" t="s">
        <v>31</v>
      </c>
      <c r="J179" s="1">
        <f>F179*H179</f>
        <v>9.896025730500025</v>
      </c>
      <c r="K179" s="1" t="s">
        <v>301</v>
      </c>
    </row>
    <row r="180">
      <c r="B180" s="1" t="s">
        <v>324</v>
      </c>
      <c r="D180" s="1">
        <f>D181+1</f>
        <v>92.96999999999998</v>
      </c>
      <c r="E180" s="1" t="s">
        <v>325</v>
      </c>
      <c r="F180" s="1">
        <f>$M$178</f>
        <v>1.4331681000000003</v>
      </c>
      <c r="G180" s="1" t="s">
        <v>69</v>
      </c>
      <c r="H180" s="1">
        <f>$D$176-D180</f>
        <v>7.50500000000001</v>
      </c>
      <c r="I180" s="1" t="s">
        <v>31</v>
      </c>
      <c r="J180" s="1">
        <f>F180*H180</f>
        <v>10.755926590500016</v>
      </c>
      <c r="K180" s="1" t="s">
        <v>301</v>
      </c>
    </row>
    <row r="181">
      <c r="B181" s="1" t="s">
        <v>324</v>
      </c>
      <c r="D181" s="1">
        <f>$E$20</f>
        <v>91.96999999999998</v>
      </c>
      <c r="E181" s="1" t="s">
        <v>325</v>
      </c>
      <c r="F181" s="1">
        <f>$M$178</f>
        <v>1.4331681000000003</v>
      </c>
      <c r="G181" s="1" t="s">
        <v>69</v>
      </c>
      <c r="H181" s="1">
        <f>$D$176-D181</f>
        <v>8.50500000000001</v>
      </c>
      <c r="I181" s="1" t="s">
        <v>31</v>
      </c>
      <c r="J181" s="1">
        <f>F181*H181</f>
        <v>12.189094690500017</v>
      </c>
      <c r="K181" s="1" t="s">
        <v>301</v>
      </c>
    </row>
    <row r="182">
      <c r="A182" s="4" t="s">
        <v>351</v>
      </c>
      <c r="B182" s="1" t="s">
        <v>352</v>
      </c>
      <c r="D182" s="2">
        <f>E22</f>
        <v>100.77499999999999</v>
      </c>
      <c r="E182" s="1" t="s">
        <v>353</v>
      </c>
      <c r="F182" s="1">
        <f>E16</f>
        <v>96.46999999999998</v>
      </c>
      <c r="G182" s="1" t="s">
        <v>70</v>
      </c>
    </row>
    <row r="183">
      <c r="B183" s="1" t="s">
        <v>354</v>
      </c>
      <c r="C183" s="1" t="s">
        <v>31</v>
      </c>
      <c r="D183" s="1">
        <v>1.2</v>
      </c>
      <c r="E183" s="1" t="s">
        <v>69</v>
      </c>
      <c r="F183" s="1">
        <f>D182-F182</f>
        <v>4.305000000000007</v>
      </c>
      <c r="L183" s="1" t="s">
        <v>31</v>
      </c>
      <c r="M183" s="1">
        <f>D183*F183</f>
        <v>5.166000000000008</v>
      </c>
      <c r="N183" s="1" t="s">
        <v>180</v>
      </c>
    </row>
    <row r="184">
      <c r="B184" s="1" t="s">
        <v>341</v>
      </c>
      <c r="C184" s="1" t="s">
        <v>31</v>
      </c>
      <c r="D184" s="1">
        <f>(D182+F182)/2</f>
        <v>98.62249999999999</v>
      </c>
      <c r="E184" s="1" t="s">
        <v>114</v>
      </c>
      <c r="F184" s="1">
        <f>$E$16</f>
        <v>96.46999999999998</v>
      </c>
      <c r="G184" s="1" t="s">
        <v>31</v>
      </c>
      <c r="H184" s="1">
        <f>D184-F184</f>
        <v>2.1525000000000034</v>
      </c>
      <c r="I184" s="1" t="s">
        <v>63</v>
      </c>
    </row>
    <row r="185">
      <c r="B185" s="1" t="s">
        <v>342</v>
      </c>
      <c r="D185" s="1" t="s">
        <v>343</v>
      </c>
      <c r="F185" s="1">
        <f>119+(130-119)*(H184-20)/(25-20)</f>
        <v>79.7355</v>
      </c>
      <c r="G185" s="1" t="s">
        <v>344</v>
      </c>
      <c r="H185" s="1" t="s">
        <v>31</v>
      </c>
      <c r="J185" s="1">
        <f>F185*10/1000</f>
        <v>0.797355</v>
      </c>
      <c r="K185" s="1" t="s">
        <v>178</v>
      </c>
    </row>
    <row r="186">
      <c r="B186" s="1" t="s">
        <v>345</v>
      </c>
      <c r="C186" s="1" t="s">
        <v>31</v>
      </c>
      <c r="D186" s="1">
        <f>M183</f>
        <v>5.166000000000008</v>
      </c>
      <c r="E186" s="1" t="s">
        <v>69</v>
      </c>
      <c r="F186" s="1">
        <f>J185</f>
        <v>0.797355</v>
      </c>
      <c r="L186" s="1" t="s">
        <v>31</v>
      </c>
      <c r="M186" s="1">
        <f>D186*F186</f>
        <v>4.119135930000007</v>
      </c>
      <c r="N186" s="1" t="s">
        <v>182</v>
      </c>
    </row>
    <row r="187">
      <c r="B187" s="1" t="s">
        <v>324</v>
      </c>
      <c r="D187" s="1">
        <f>D188+0.6</f>
        <v>93.56999999999998</v>
      </c>
      <c r="E187" s="1" t="s">
        <v>325</v>
      </c>
      <c r="F187" s="1">
        <f>$M$186</f>
        <v>4.119135930000007</v>
      </c>
      <c r="G187" s="1" t="s">
        <v>69</v>
      </c>
      <c r="H187" s="1">
        <f>$D$184-D187</f>
        <v>5.052500000000009</v>
      </c>
      <c r="I187" s="1" t="s">
        <v>31</v>
      </c>
      <c r="J187" s="1">
        <f>F187*H187</f>
        <v>20.811934286325073</v>
      </c>
      <c r="K187" s="1" t="s">
        <v>301</v>
      </c>
    </row>
    <row r="188">
      <c r="B188" s="1" t="s">
        <v>324</v>
      </c>
      <c r="D188" s="1">
        <f>D189+1</f>
        <v>92.96999999999998</v>
      </c>
      <c r="E188" s="1" t="s">
        <v>325</v>
      </c>
      <c r="F188" s="1">
        <f>$M$178</f>
        <v>1.4331681000000003</v>
      </c>
      <c r="G188" s="1" t="s">
        <v>69</v>
      </c>
      <c r="H188" s="1">
        <f>$D$184-D188</f>
        <v>5.652500000000003</v>
      </c>
      <c r="I188" s="1" t="s">
        <v>31</v>
      </c>
      <c r="J188" s="1">
        <f>F188*H188</f>
        <v>8.100982685250006</v>
      </c>
      <c r="K188" s="1" t="s">
        <v>301</v>
      </c>
    </row>
    <row r="189">
      <c r="B189" s="1" t="s">
        <v>324</v>
      </c>
      <c r="D189" s="1">
        <f>$E$20</f>
        <v>91.96999999999998</v>
      </c>
      <c r="E189" s="1" t="s">
        <v>325</v>
      </c>
      <c r="F189" s="1">
        <f>$M$178</f>
        <v>1.4331681000000003</v>
      </c>
      <c r="G189" s="1" t="s">
        <v>69</v>
      </c>
      <c r="H189" s="1">
        <f>$D$184-D189</f>
        <v>6.652500000000003</v>
      </c>
      <c r="I189" s="1" t="s">
        <v>31</v>
      </c>
      <c r="J189" s="1">
        <f>F189*H189</f>
        <v>9.534150785250008</v>
      </c>
      <c r="K189" s="1" t="s">
        <v>301</v>
      </c>
    </row>
    <row r="190">
      <c r="B190" s="1" t="s">
        <v>355</v>
      </c>
    </row>
    <row r="191">
      <c r="B191" s="1" t="s">
        <v>324</v>
      </c>
      <c r="D191" s="1">
        <f>D187</f>
        <v>93.56999999999998</v>
      </c>
      <c r="E191" s="1" t="s">
        <v>325</v>
      </c>
      <c r="F191" s="1">
        <f>J167</f>
        <v>70.38637157784396</v>
      </c>
      <c r="G191" s="1" t="s">
        <v>126</v>
      </c>
      <c r="H191" s="1">
        <f>J179</f>
        <v>9.896025730500025</v>
      </c>
      <c r="I191" s="1" t="s">
        <v>126</v>
      </c>
      <c r="J191" s="1">
        <f>J187</f>
        <v>20.811934286325073</v>
      </c>
      <c r="K191" s="1" t="s">
        <v>126</v>
      </c>
    </row>
    <row r="192">
      <c r="K192" s="1" t="s">
        <v>31</v>
      </c>
      <c r="L192" s="1">
        <f>SUM(F191:R191)</f>
        <v>101.09433159466906</v>
      </c>
      <c r="M192" s="1" t="s">
        <v>301</v>
      </c>
    </row>
    <row r="193">
      <c r="B193" s="1" t="s">
        <v>324</v>
      </c>
      <c r="D193" s="1">
        <f>D188</f>
        <v>92.96999999999998</v>
      </c>
      <c r="E193" s="1" t="s">
        <v>325</v>
      </c>
      <c r="F193" s="1">
        <f>J168</f>
        <v>75.93042447534391</v>
      </c>
      <c r="G193" s="1" t="s">
        <v>126</v>
      </c>
      <c r="H193" s="1">
        <f>J180</f>
        <v>10.755926590500016</v>
      </c>
      <c r="I193" s="1" t="s">
        <v>126</v>
      </c>
      <c r="J193" s="1">
        <f>J188</f>
        <v>8.100982685250006</v>
      </c>
      <c r="K193" s="1" t="s">
        <v>126</v>
      </c>
    </row>
    <row r="194">
      <c r="K194" s="1" t="s">
        <v>31</v>
      </c>
      <c r="L194" s="1">
        <f>SUM(F193:R193)</f>
        <v>94.78733375109393</v>
      </c>
      <c r="M194" s="1" t="s">
        <v>301</v>
      </c>
    </row>
    <row r="195">
      <c r="B195" s="1" t="s">
        <v>324</v>
      </c>
      <c r="D195" s="1">
        <f>D189</f>
        <v>91.96999999999998</v>
      </c>
      <c r="E195" s="1" t="s">
        <v>325</v>
      </c>
      <c r="F195" s="1">
        <f>J169</f>
        <v>85.17051263784391</v>
      </c>
      <c r="G195" s="1" t="s">
        <v>126</v>
      </c>
      <c r="H195" s="1">
        <f>J181</f>
        <v>12.189094690500017</v>
      </c>
      <c r="I195" s="1" t="s">
        <v>126</v>
      </c>
      <c r="J195" s="1">
        <f>J189</f>
        <v>9.534150785250008</v>
      </c>
      <c r="K195" s="1" t="s">
        <v>126</v>
      </c>
    </row>
    <row r="196">
      <c r="K196" s="1" t="s">
        <v>31</v>
      </c>
      <c r="L196" s="1">
        <f>SUM(F195:R195)</f>
        <v>106.89375811359393</v>
      </c>
      <c r="M196" s="1" t="s">
        <v>301</v>
      </c>
    </row>
    <row r="197">
      <c r="B197" s="1" t="s">
        <v>356</v>
      </c>
    </row>
    <row r="198">
      <c r="B198" s="4" t="s">
        <f>CONCATENATE("CASE- 1  FOR SERVICE CONDITION AT R. L.",E20," M")</f>
        <v>357</v>
      </c>
    </row>
    <row r="199">
      <c r="B199" s="1" t="s">
        <v>358</v>
      </c>
    </row>
    <row r="200">
      <c r="B200" s="1" t="s">
        <v>267</v>
      </c>
    </row>
    <row r="201">
      <c r="B201" s="1" t="s">
        <v>268</v>
      </c>
      <c r="C201" s="1" t="s">
        <v>31</v>
      </c>
      <c r="D201" s="1">
        <f>L29</f>
        <v>1463.6159999999998</v>
      </c>
      <c r="E201" s="1" t="s">
        <v>182</v>
      </c>
    </row>
    <row r="202">
      <c r="B202" s="1" t="s">
        <v>270</v>
      </c>
      <c r="C202" s="1" t="s">
        <v>31</v>
      </c>
      <c r="D202" s="1">
        <f>P56</f>
        <v>2821.2050880000015</v>
      </c>
      <c r="E202" s="1" t="s">
        <v>182</v>
      </c>
      <c r="F202" s="1" t="s">
        <v>359</v>
      </c>
    </row>
    <row r="203">
      <c r="B203" s="1" t="s">
        <v>270</v>
      </c>
      <c r="C203" s="1" t="s">
        <v>31</v>
      </c>
      <c r="D203" s="1">
        <f>P59</f>
        <v>2271.835470000002</v>
      </c>
      <c r="E203" s="1" t="s">
        <v>182</v>
      </c>
      <c r="F203" s="1" t="s">
        <v>360</v>
      </c>
    </row>
    <row r="204">
      <c r="B204" s="1" t="s">
        <v>361</v>
      </c>
      <c r="C204" s="1" t="s">
        <v>31</v>
      </c>
      <c r="D204" s="1">
        <f>H62</f>
        <v>788.2663473053892</v>
      </c>
      <c r="E204" s="1" t="s">
        <v>182</v>
      </c>
    </row>
    <row r="205">
      <c r="B205" s="1" t="s">
        <v>362</v>
      </c>
      <c r="C205" s="1" t="s">
        <v>31</v>
      </c>
      <c r="D205" s="1">
        <f>D201+D202+D204</f>
        <v>5073.0874353053905</v>
      </c>
      <c r="E205" s="1" t="s">
        <v>182</v>
      </c>
    </row>
    <row r="206">
      <c r="B206" s="1" t="s">
        <v>363</v>
      </c>
      <c r="C206" s="1" t="s">
        <v>31</v>
      </c>
      <c r="D206" s="1">
        <f>D201+D203+D204</f>
        <v>4523.717817305391</v>
      </c>
      <c r="E206" s="1" t="s">
        <v>182</v>
      </c>
    </row>
    <row r="207">
      <c r="B207" s="1" t="s">
        <v>364</v>
      </c>
      <c r="C207" s="1" t="s">
        <v>31</v>
      </c>
      <c r="D207" s="1">
        <f>$J$117</f>
        <v>112.56078556340799</v>
      </c>
      <c r="E207" s="1" t="s">
        <v>126</v>
      </c>
      <c r="F207" s="1">
        <f>$H$66</f>
        <v>244.25331736526948</v>
      </c>
      <c r="G207" s="1" t="s">
        <v>31</v>
      </c>
      <c r="H207" s="1">
        <f>D207+F207</f>
        <v>356.81410292867747</v>
      </c>
      <c r="I207" s="1" t="s">
        <v>301</v>
      </c>
    </row>
    <row r="208">
      <c r="B208" s="1" t="s">
        <v>365</v>
      </c>
      <c r="C208" s="1" t="s">
        <v>31</v>
      </c>
      <c r="D208" s="1">
        <f>$J$158</f>
        <v>112.56078556340799</v>
      </c>
      <c r="E208" s="1" t="s">
        <v>126</v>
      </c>
      <c r="F208" s="1">
        <f>$H$71</f>
        <v>2247.881195209581</v>
      </c>
      <c r="G208" s="1" t="s">
        <v>31</v>
      </c>
      <c r="H208" s="1">
        <f>D208+F208</f>
        <v>2360.441980772989</v>
      </c>
      <c r="I208" s="1" t="s">
        <v>301</v>
      </c>
    </row>
    <row r="209" ht="14.25" customHeight="1">
      <c r="B209" s="1" t="s">
        <v>366</v>
      </c>
      <c r="C209" s="1" t="s">
        <v>31</v>
      </c>
      <c r="D209" s="1">
        <f>D53</f>
        <v>12</v>
      </c>
      <c r="E209" s="1" t="s">
        <v>69</v>
      </c>
      <c r="F209" s="1">
        <f>F53</f>
        <v>3.8</v>
      </c>
      <c r="I209" s="1" t="s">
        <v>31</v>
      </c>
      <c r="J209" s="1">
        <f>D209*F209</f>
        <v>45.599999999999994</v>
      </c>
      <c r="K209" s="1" t="s">
        <v>367</v>
      </c>
    </row>
    <row r="210" hidden="1">
      <c r="C210" s="1" t="s">
        <v>31</v>
      </c>
    </row>
    <row r="211" ht="15.75" customHeight="1">
      <c r="B211" s="1" t="s">
        <v>368</v>
      </c>
      <c r="C211" s="1" t="s">
        <v>31</v>
      </c>
      <c r="D211" s="1" t="s">
        <v>369</v>
      </c>
      <c r="E211" s="1">
        <f>D209</f>
        <v>12</v>
      </c>
      <c r="F211" s="1" t="s">
        <v>69</v>
      </c>
      <c r="G211" s="1">
        <f>F209</f>
        <v>3.8</v>
      </c>
      <c r="H211" s="1" t="s">
        <v>370</v>
      </c>
      <c r="I211" s="1" t="s">
        <v>31</v>
      </c>
      <c r="J211" s="1">
        <f>E211*G211^2/6</f>
        <v>28.88</v>
      </c>
      <c r="K211" s="1" t="s">
        <v>371</v>
      </c>
    </row>
    <row r="212" ht="15.75" customHeight="1">
      <c r="B212" s="1" t="s">
        <v>372</v>
      </c>
      <c r="C212" s="1" t="s">
        <v>31</v>
      </c>
      <c r="D212" s="1" t="s">
        <v>369</v>
      </c>
      <c r="E212" s="1">
        <f>E211</f>
        <v>12</v>
      </c>
      <c r="F212" s="1" t="s">
        <v>370</v>
      </c>
      <c r="G212" s="1" t="s">
        <v>69</v>
      </c>
      <c r="H212" s="1">
        <f>G211</f>
        <v>3.8</v>
      </c>
      <c r="I212" s="1" t="s">
        <v>31</v>
      </c>
      <c r="J212" s="1">
        <f>E212^2*H212/6</f>
        <v>91.19999999999999</v>
      </c>
      <c r="K212" s="1" t="s">
        <v>371</v>
      </c>
    </row>
    <row r="213">
      <c r="B213" s="1" t="s">
        <v>373</v>
      </c>
      <c r="C213" s="1" t="s">
        <v>318</v>
      </c>
      <c r="D213" s="1">
        <f>D206</f>
        <v>4523.717817305391</v>
      </c>
      <c r="E213" s="1" t="s">
        <v>85</v>
      </c>
      <c r="F213" s="1">
        <f>$J$209</f>
        <v>45.599999999999994</v>
      </c>
      <c r="G213" s="1" t="s">
        <v>374</v>
      </c>
      <c r="H213" s="1">
        <f>$H$207</f>
        <v>356.81410292867747</v>
      </c>
      <c r="I213" s="1" t="s">
        <v>85</v>
      </c>
      <c r="J213" s="1">
        <f>$J$211</f>
        <v>28.88</v>
      </c>
      <c r="K213" s="1" t="s">
        <v>374</v>
      </c>
      <c r="L213" s="1">
        <f>$H$208</f>
        <v>2360.441980772989</v>
      </c>
      <c r="M213" s="1" t="s">
        <v>85</v>
      </c>
      <c r="N213" s="1">
        <f>$J$212</f>
        <v>91.19999999999999</v>
      </c>
      <c r="O213" s="1" t="s">
        <v>83</v>
      </c>
    </row>
    <row r="214">
      <c r="C214" s="1" t="s">
        <v>31</v>
      </c>
      <c r="D214" s="1">
        <f>D213/F213</f>
        <v>99.20433809880244</v>
      </c>
      <c r="E214" s="1" t="s">
        <v>375</v>
      </c>
      <c r="F214" s="1">
        <f>H213/J213</f>
        <v>12.355058965674429</v>
      </c>
      <c r="G214" s="1" t="s">
        <v>375</v>
      </c>
      <c r="H214" s="1">
        <f>L213/N213</f>
        <v>25.882039262861728</v>
      </c>
    </row>
    <row r="215" ht="15.75" customHeight="1">
      <c r="B215" s="1" t="s">
        <v>376</v>
      </c>
      <c r="C215" s="1" t="s">
        <v>31</v>
      </c>
      <c r="D215" s="1">
        <f>D214</f>
        <v>99.20433809880244</v>
      </c>
      <c r="E215" s="1" t="s">
        <v>126</v>
      </c>
      <c r="F215" s="1">
        <f>F214</f>
        <v>12.355058965674429</v>
      </c>
      <c r="G215" s="1" t="s">
        <v>126</v>
      </c>
      <c r="H215" s="1">
        <f>H214</f>
        <v>25.882039262861728</v>
      </c>
    </row>
    <row r="216" ht="14.25" customHeight="1">
      <c r="C216" s="1" t="s">
        <v>31</v>
      </c>
      <c r="D216" s="1">
        <f>D215+F215+H215</f>
        <v>137.4414363273386</v>
      </c>
      <c r="E216" s="1" t="s">
        <v>258</v>
      </c>
    </row>
    <row r="217">
      <c r="D217" s="1" t="s">
        <v>377</v>
      </c>
    </row>
    <row r="218" ht="15.75" customHeight="1">
      <c r="B218" s="1" t="s">
        <v>378</v>
      </c>
      <c r="C218" s="1" t="s">
        <v>31</v>
      </c>
      <c r="D218" s="1">
        <f>D215</f>
        <v>99.20433809880244</v>
      </c>
      <c r="E218" s="1" t="s">
        <v>114</v>
      </c>
      <c r="F218" s="1">
        <f>F215</f>
        <v>12.355058965674429</v>
      </c>
      <c r="G218" s="1" t="s">
        <v>114</v>
      </c>
      <c r="H218" s="1">
        <f>H215</f>
        <v>25.882039262861728</v>
      </c>
    </row>
    <row r="219" ht="14.25" customHeight="1">
      <c r="C219" s="1" t="s">
        <v>31</v>
      </c>
      <c r="D219" s="1">
        <f>D218-F218-H218</f>
        <v>60.96723987026628</v>
      </c>
      <c r="E219" s="1" t="s">
        <v>258</v>
      </c>
    </row>
    <row r="220">
      <c r="D220" s="1" t="s">
        <v>379</v>
      </c>
    </row>
    <row r="221"/>
    <row r="222">
      <c r="B222" s="1" t="s">
        <v>380</v>
      </c>
      <c r="C222" s="1" t="s">
        <v>318</v>
      </c>
      <c r="D222" s="1">
        <f>D205</f>
        <v>5073.0874353053905</v>
      </c>
      <c r="E222" s="1" t="s">
        <v>85</v>
      </c>
      <c r="F222" s="1">
        <f>$J$209</f>
        <v>45.599999999999994</v>
      </c>
      <c r="G222" s="1" t="s">
        <v>374</v>
      </c>
      <c r="H222" s="1">
        <f>$H$207</f>
        <v>356.81410292867747</v>
      </c>
      <c r="I222" s="1" t="s">
        <v>85</v>
      </c>
      <c r="J222" s="1">
        <f>$J$211</f>
        <v>28.88</v>
      </c>
      <c r="K222" s="1" t="s">
        <v>374</v>
      </c>
      <c r="L222" s="1">
        <f>$H$208</f>
        <v>2360.441980772989</v>
      </c>
      <c r="M222" s="1" t="s">
        <v>85</v>
      </c>
      <c r="N222" s="1">
        <f>$J$212</f>
        <v>91.19999999999999</v>
      </c>
      <c r="O222" s="1" t="s">
        <v>83</v>
      </c>
    </row>
    <row r="223">
      <c r="C223" s="1" t="s">
        <v>31</v>
      </c>
      <c r="D223" s="1">
        <f>D222/F222</f>
        <v>111.2519174409077</v>
      </c>
      <c r="E223" s="1" t="s">
        <v>375</v>
      </c>
      <c r="F223" s="1">
        <f>H222/J222</f>
        <v>12.355058965674429</v>
      </c>
      <c r="G223" s="1" t="s">
        <v>375</v>
      </c>
      <c r="H223" s="1">
        <f>L222/N222</f>
        <v>25.882039262861728</v>
      </c>
    </row>
    <row r="224" ht="15.75" customHeight="1">
      <c r="B224" s="1" t="s">
        <v>376</v>
      </c>
      <c r="C224" s="1" t="s">
        <v>31</v>
      </c>
      <c r="D224" s="1">
        <f>D223</f>
        <v>111.2519174409077</v>
      </c>
      <c r="E224" s="1" t="s">
        <v>126</v>
      </c>
      <c r="F224" s="1">
        <f>F223</f>
        <v>12.355058965674429</v>
      </c>
      <c r="G224" s="1" t="s">
        <v>126</v>
      </c>
      <c r="H224" s="1">
        <f>H223</f>
        <v>25.882039262861728</v>
      </c>
    </row>
    <row r="225" ht="14.25" customHeight="1">
      <c r="C225" s="1" t="s">
        <v>31</v>
      </c>
      <c r="D225" s="1">
        <f>D224+F224+H224-12</f>
        <v>137.48901566944386</v>
      </c>
      <c r="E225" s="1" t="s">
        <v>258</v>
      </c>
    </row>
    <row r="226">
      <c r="D226" s="1" t="s">
        <v>377</v>
      </c>
    </row>
    <row r="227" ht="15.75" customHeight="1">
      <c r="B227" s="1" t="s">
        <v>378</v>
      </c>
      <c r="C227" s="1" t="s">
        <v>31</v>
      </c>
      <c r="D227" s="1">
        <f>D224</f>
        <v>111.2519174409077</v>
      </c>
      <c r="E227" s="1" t="s">
        <v>114</v>
      </c>
      <c r="F227" s="1">
        <f>F224</f>
        <v>12.355058965674429</v>
      </c>
      <c r="G227" s="1" t="s">
        <v>114</v>
      </c>
      <c r="H227" s="1">
        <f>H224</f>
        <v>25.882039262861728</v>
      </c>
    </row>
    <row r="228" ht="14.25" customHeight="1">
      <c r="C228" s="1" t="s">
        <v>31</v>
      </c>
      <c r="D228" s="1">
        <f>D227-F227-H227</f>
        <v>73.01481921237155</v>
      </c>
      <c r="E228" s="1" t="s">
        <v>258</v>
      </c>
    </row>
    <row r="229">
      <c r="D229" s="1" t="s">
        <v>379</v>
      </c>
    </row>
    <row r="230"/>
    <row r="231">
      <c r="B231" s="4" t="s">
        <f>CONCATENATE("CASE- 2  FOR IDLE CONDITION AT R. L.",E20," M")</f>
        <v>381</v>
      </c>
      <c r="F231" s="1" t="s">
        <v>382</v>
      </c>
    </row>
    <row r="232" hidden="1"/>
    <row r="233">
      <c r="B233" s="1" t="s">
        <v>268</v>
      </c>
      <c r="C233" s="1" t="s">
        <v>31</v>
      </c>
      <c r="D233" s="1">
        <f>D201</f>
        <v>1463.6159999999998</v>
      </c>
      <c r="E233" s="1" t="s">
        <v>182</v>
      </c>
      <c r="F233" s="1" t="s">
        <v>383</v>
      </c>
    </row>
    <row r="234">
      <c r="B234" s="1" t="s">
        <v>270</v>
      </c>
      <c r="C234" s="1" t="s">
        <v>31</v>
      </c>
      <c r="D234" s="1">
        <f>D202</f>
        <v>2821.2050880000015</v>
      </c>
      <c r="E234" s="1" t="s">
        <v>182</v>
      </c>
      <c r="F234" s="1" t="s">
        <v>359</v>
      </c>
    </row>
    <row r="235">
      <c r="B235" s="1" t="s">
        <v>270</v>
      </c>
      <c r="C235" s="1" t="s">
        <v>31</v>
      </c>
      <c r="D235" s="1">
        <f>D203</f>
        <v>2271.835470000002</v>
      </c>
      <c r="E235" s="1" t="s">
        <v>182</v>
      </c>
      <c r="F235" s="1" t="s">
        <v>360</v>
      </c>
    </row>
    <row r="236">
      <c r="B236" s="1" t="s">
        <v>361</v>
      </c>
      <c r="C236" s="1" t="s">
        <v>31</v>
      </c>
      <c r="D236" s="1">
        <v>0</v>
      </c>
      <c r="E236" s="1" t="s">
        <v>182</v>
      </c>
    </row>
    <row r="237">
      <c r="B237" s="1" t="s">
        <v>362</v>
      </c>
      <c r="C237" s="1" t="s">
        <v>31</v>
      </c>
      <c r="D237" s="1">
        <f>D233+D234+D236</f>
        <v>4284.8210880000015</v>
      </c>
      <c r="E237" s="1" t="s">
        <v>182</v>
      </c>
    </row>
    <row r="238">
      <c r="B238" s="1" t="s">
        <v>363</v>
      </c>
      <c r="C238" s="1" t="s">
        <v>31</v>
      </c>
      <c r="D238" s="1">
        <f>D233+D235+D236</f>
        <v>3735.451470000002</v>
      </c>
      <c r="E238" s="1" t="s">
        <v>182</v>
      </c>
    </row>
    <row r="239">
      <c r="B239" s="1" t="s">
        <v>373</v>
      </c>
      <c r="C239" s="1" t="s">
        <v>318</v>
      </c>
      <c r="D239" s="1">
        <f>D238</f>
        <v>3735.451470000002</v>
      </c>
      <c r="E239" s="1" t="s">
        <v>85</v>
      </c>
      <c r="F239" s="1">
        <f>$J$209</f>
        <v>45.599999999999994</v>
      </c>
      <c r="G239" s="1" t="s">
        <v>374</v>
      </c>
      <c r="H239" s="1">
        <f>$J$117</f>
        <v>112.56078556340799</v>
      </c>
      <c r="I239" s="1" t="s">
        <v>85</v>
      </c>
      <c r="J239" s="1">
        <f>$J$211</f>
        <v>28.88</v>
      </c>
      <c r="K239" s="1" t="s">
        <v>374</v>
      </c>
      <c r="L239" s="1">
        <f>$J$158</f>
        <v>112.56078556340799</v>
      </c>
      <c r="M239" s="1" t="s">
        <v>85</v>
      </c>
      <c r="N239" s="1">
        <f>$J$212</f>
        <v>91.19999999999999</v>
      </c>
      <c r="O239" s="1" t="s">
        <v>83</v>
      </c>
    </row>
    <row r="240">
      <c r="C240" s="1" t="s">
        <v>31</v>
      </c>
      <c r="D240" s="1">
        <f>D239/F239</f>
        <v>81.91779539473688</v>
      </c>
      <c r="E240" s="1" t="s">
        <v>375</v>
      </c>
      <c r="F240" s="1">
        <f>H239/J239</f>
        <v>3.8975341261567866</v>
      </c>
      <c r="G240" s="1" t="s">
        <v>375</v>
      </c>
      <c r="H240" s="1">
        <f>L239/N239</f>
        <v>1.2342191399496492</v>
      </c>
    </row>
    <row r="241" ht="15.75" customHeight="1">
      <c r="B241" s="1" t="s">
        <v>376</v>
      </c>
      <c r="C241" s="1" t="s">
        <v>31</v>
      </c>
      <c r="D241" s="1">
        <f>D240</f>
        <v>81.91779539473688</v>
      </c>
      <c r="E241" s="1" t="s">
        <v>126</v>
      </c>
      <c r="F241" s="1">
        <f>F240</f>
        <v>3.8975341261567866</v>
      </c>
      <c r="G241" s="1" t="s">
        <v>126</v>
      </c>
      <c r="H241" s="1">
        <f>H240</f>
        <v>1.2342191399496492</v>
      </c>
    </row>
    <row r="242" ht="14.25" customHeight="1">
      <c r="C242" s="1" t="s">
        <v>31</v>
      </c>
      <c r="D242" s="1">
        <f>D241+F241+H241</f>
        <v>87.04954866084331</v>
      </c>
      <c r="E242" s="1" t="s">
        <v>258</v>
      </c>
    </row>
    <row r="243">
      <c r="D243" s="1" t="s">
        <v>377</v>
      </c>
    </row>
    <row r="244" ht="15.75" customHeight="1">
      <c r="B244" s="1" t="s">
        <v>378</v>
      </c>
      <c r="C244" s="1" t="s">
        <v>31</v>
      </c>
      <c r="D244" s="1">
        <f>D241</f>
        <v>81.91779539473688</v>
      </c>
      <c r="E244" s="1" t="s">
        <v>114</v>
      </c>
      <c r="F244" s="1">
        <f>F241</f>
        <v>3.8975341261567866</v>
      </c>
      <c r="G244" s="1" t="s">
        <v>114</v>
      </c>
      <c r="H244" s="1">
        <f>H241</f>
        <v>1.2342191399496492</v>
      </c>
    </row>
    <row r="245" ht="14.25" customHeight="1">
      <c r="C245" s="1" t="s">
        <v>31</v>
      </c>
      <c r="D245" s="1">
        <f>D244-F244-H244</f>
        <v>76.78604212863046</v>
      </c>
      <c r="E245" s="1" t="s">
        <v>258</v>
      </c>
    </row>
    <row r="246">
      <c r="D246" s="1" t="s">
        <v>379</v>
      </c>
    </row>
    <row r="247"/>
    <row r="248">
      <c r="B248" s="1" t="s">
        <v>380</v>
      </c>
      <c r="C248" s="1" t="s">
        <v>318</v>
      </c>
      <c r="D248" s="1">
        <f>D237</f>
        <v>4284.8210880000015</v>
      </c>
      <c r="E248" s="1" t="s">
        <v>85</v>
      </c>
      <c r="F248" s="1">
        <f>$J$209</f>
        <v>45.599999999999994</v>
      </c>
      <c r="G248" s="1" t="s">
        <v>374</v>
      </c>
      <c r="H248" s="1">
        <f>$J$117</f>
        <v>112.56078556340799</v>
      </c>
      <c r="I248" s="1" t="s">
        <v>85</v>
      </c>
      <c r="J248" s="1">
        <f>$J$211</f>
        <v>28.88</v>
      </c>
      <c r="K248" s="1" t="s">
        <v>374</v>
      </c>
      <c r="L248" s="1">
        <f>$J$158</f>
        <v>112.56078556340799</v>
      </c>
      <c r="M248" s="1" t="s">
        <v>85</v>
      </c>
      <c r="N248" s="1">
        <f>$J$212</f>
        <v>91.19999999999999</v>
      </c>
      <c r="O248" s="1" t="s">
        <v>83</v>
      </c>
    </row>
    <row r="249">
      <c r="C249" s="1" t="s">
        <v>31</v>
      </c>
      <c r="D249" s="1">
        <f>D248/F248</f>
        <v>93.96537473684215</v>
      </c>
      <c r="E249" s="1" t="s">
        <v>375</v>
      </c>
      <c r="F249" s="1">
        <f>H248/J248</f>
        <v>3.8975341261567866</v>
      </c>
      <c r="G249" s="1" t="s">
        <v>375</v>
      </c>
      <c r="H249" s="1">
        <f>L248/N248</f>
        <v>1.2342191399496492</v>
      </c>
    </row>
    <row r="250" ht="15.75" customHeight="1">
      <c r="B250" s="1" t="s">
        <v>376</v>
      </c>
      <c r="C250" s="1" t="s">
        <v>31</v>
      </c>
      <c r="D250" s="1">
        <f>D249</f>
        <v>93.96537473684215</v>
      </c>
      <c r="E250" s="1" t="s">
        <v>126</v>
      </c>
      <c r="F250" s="1">
        <f>F249</f>
        <v>3.8975341261567866</v>
      </c>
      <c r="G250" s="1" t="s">
        <v>126</v>
      </c>
      <c r="H250" s="1">
        <f>H249</f>
        <v>1.2342191399496492</v>
      </c>
    </row>
    <row r="251" ht="14.25" customHeight="1">
      <c r="C251" s="1" t="s">
        <v>31</v>
      </c>
      <c r="D251" s="1">
        <f>D250+F250+H250</f>
        <v>99.09712800294858</v>
      </c>
      <c r="E251" s="1" t="s">
        <v>258</v>
      </c>
    </row>
    <row r="252">
      <c r="D252" s="1" t="s">
        <v>377</v>
      </c>
    </row>
    <row r="253" ht="15.75" customHeight="1">
      <c r="B253" s="1" t="s">
        <v>378</v>
      </c>
      <c r="C253" s="1" t="s">
        <v>31</v>
      </c>
      <c r="D253" s="1">
        <f>D250</f>
        <v>93.96537473684215</v>
      </c>
      <c r="E253" s="1" t="s">
        <v>114</v>
      </c>
      <c r="F253" s="1">
        <f>F250</f>
        <v>3.8975341261567866</v>
      </c>
      <c r="G253" s="1" t="s">
        <v>114</v>
      </c>
      <c r="H253" s="1">
        <f>H250</f>
        <v>1.2342191399496492</v>
      </c>
    </row>
    <row r="254" ht="14.25" customHeight="1">
      <c r="C254" s="1" t="s">
        <v>31</v>
      </c>
      <c r="D254" s="1">
        <f>D253-F253-H253</f>
        <v>88.83362147073572</v>
      </c>
      <c r="E254" s="1" t="s">
        <v>258</v>
      </c>
    </row>
    <row r="255">
      <c r="D255" s="1" t="s">
        <v>379</v>
      </c>
    </row>
    <row r="256"/>
    <row r="257">
      <c r="B257" s="4" t="s">
        <f>CONCATENATE("CASE- 3 FOR WIND FORCE AT SERVICE CONDITION AT R. L.",E20," M")</f>
        <v>384</v>
      </c>
    </row>
    <row r="258" hidden="1"/>
    <row r="259">
      <c r="B259" s="1" t="s">
        <v>268</v>
      </c>
      <c r="C259" s="1" t="s">
        <v>31</v>
      </c>
      <c r="D259" s="1">
        <f>D201</f>
        <v>1463.6159999999998</v>
      </c>
      <c r="E259" s="1" t="s">
        <v>182</v>
      </c>
    </row>
    <row r="260">
      <c r="B260" s="1" t="s">
        <v>270</v>
      </c>
      <c r="C260" s="1" t="s">
        <v>31</v>
      </c>
      <c r="D260" s="1">
        <f>D202</f>
        <v>2821.2050880000015</v>
      </c>
      <c r="E260" s="1" t="s">
        <v>182</v>
      </c>
      <c r="F260" s="1" t="s">
        <v>359</v>
      </c>
    </row>
    <row r="261">
      <c r="B261" s="1" t="s">
        <v>270</v>
      </c>
      <c r="C261" s="1" t="s">
        <v>31</v>
      </c>
      <c r="D261" s="1">
        <f>D203</f>
        <v>2271.835470000002</v>
      </c>
      <c r="E261" s="1" t="s">
        <v>182</v>
      </c>
      <c r="F261" s="1" t="s">
        <v>360</v>
      </c>
    </row>
    <row r="262">
      <c r="B262" s="1" t="s">
        <v>361</v>
      </c>
      <c r="C262" s="1" t="s">
        <v>31</v>
      </c>
      <c r="D262" s="1">
        <f>D204</f>
        <v>788.2663473053892</v>
      </c>
      <c r="E262" s="1" t="s">
        <v>182</v>
      </c>
    </row>
    <row r="263">
      <c r="B263" s="1" t="s">
        <v>362</v>
      </c>
      <c r="C263" s="1" t="s">
        <v>31</v>
      </c>
      <c r="D263" s="1">
        <f>D205</f>
        <v>5073.0874353053905</v>
      </c>
      <c r="E263" s="1" t="s">
        <v>182</v>
      </c>
    </row>
    <row r="264">
      <c r="B264" s="1" t="s">
        <v>363</v>
      </c>
      <c r="C264" s="1" t="s">
        <v>31</v>
      </c>
      <c r="D264" s="1">
        <f>D206</f>
        <v>4523.717817305391</v>
      </c>
      <c r="E264" s="1" t="s">
        <v>182</v>
      </c>
    </row>
    <row r="265">
      <c r="B265" s="1" t="s">
        <v>364</v>
      </c>
      <c r="C265" s="1" t="s">
        <v>31</v>
      </c>
      <c r="D265" s="1">
        <f>$J$117</f>
        <v>112.56078556340799</v>
      </c>
      <c r="E265" s="1" t="s">
        <v>126</v>
      </c>
      <c r="F265" s="1">
        <f>$H$66</f>
        <v>244.25331736526948</v>
      </c>
      <c r="I265" s="1" t="s">
        <v>31</v>
      </c>
      <c r="J265" s="1">
        <f>D265+F265</f>
        <v>356.81410292867747</v>
      </c>
      <c r="K265" s="1" t="s">
        <v>301</v>
      </c>
    </row>
    <row r="266">
      <c r="B266" s="1" t="s">
        <v>365</v>
      </c>
      <c r="C266" s="1" t="s">
        <v>31</v>
      </c>
      <c r="D266" s="1">
        <f>$J$158</f>
        <v>112.56078556340799</v>
      </c>
      <c r="E266" s="1" t="s">
        <v>126</v>
      </c>
      <c r="F266" s="1">
        <f>$L$196</f>
        <v>106.89375811359393</v>
      </c>
      <c r="G266" s="1" t="s">
        <v>126</v>
      </c>
      <c r="H266" s="1">
        <f>$H$71</f>
        <v>2247.881195209581</v>
      </c>
      <c r="I266" s="1" t="s">
        <v>31</v>
      </c>
      <c r="J266" s="1">
        <f>D266+F266+H266</f>
        <v>2467.335738886583</v>
      </c>
      <c r="K266" s="1" t="s">
        <v>301</v>
      </c>
    </row>
    <row r="267">
      <c r="B267" s="1" t="s">
        <v>373</v>
      </c>
      <c r="C267" s="1" t="s">
        <v>318</v>
      </c>
      <c r="D267" s="1">
        <f>D264</f>
        <v>4523.717817305391</v>
      </c>
      <c r="E267" s="1" t="s">
        <v>85</v>
      </c>
      <c r="F267" s="1">
        <f>$J$209</f>
        <v>45.599999999999994</v>
      </c>
      <c r="G267" s="1" t="s">
        <v>374</v>
      </c>
      <c r="H267" s="1">
        <f>$J$265</f>
        <v>356.81410292867747</v>
      </c>
      <c r="I267" s="1" t="s">
        <v>85</v>
      </c>
      <c r="J267" s="1">
        <f>$J$211</f>
        <v>28.88</v>
      </c>
      <c r="K267" s="1" t="s">
        <v>374</v>
      </c>
      <c r="L267" s="1">
        <f>$J$266</f>
        <v>2467.335738886583</v>
      </c>
      <c r="M267" s="1" t="s">
        <v>85</v>
      </c>
      <c r="N267" s="1">
        <f>$J$212</f>
        <v>91.19999999999999</v>
      </c>
      <c r="O267" s="1" t="s">
        <v>83</v>
      </c>
    </row>
    <row r="268">
      <c r="C268" s="1" t="s">
        <v>31</v>
      </c>
      <c r="D268" s="1">
        <f>D267/F267</f>
        <v>99.20433809880244</v>
      </c>
      <c r="E268" s="1" t="s">
        <v>375</v>
      </c>
      <c r="F268" s="1">
        <f>H267/J267</f>
        <v>12.355058965674429</v>
      </c>
      <c r="G268" s="1" t="s">
        <v>375</v>
      </c>
      <c r="H268" s="1">
        <f>L267/N267</f>
        <v>27.054119943931834</v>
      </c>
    </row>
    <row r="269" ht="15.75" customHeight="1">
      <c r="B269" s="1" t="s">
        <v>376</v>
      </c>
      <c r="C269" s="1" t="s">
        <v>31</v>
      </c>
      <c r="D269" s="1">
        <f>D268</f>
        <v>99.20433809880244</v>
      </c>
      <c r="E269" s="1" t="s">
        <v>126</v>
      </c>
      <c r="F269" s="1">
        <f>F268</f>
        <v>12.355058965674429</v>
      </c>
      <c r="G269" s="1" t="s">
        <v>126</v>
      </c>
      <c r="H269" s="1">
        <f>H268</f>
        <v>27.054119943931834</v>
      </c>
    </row>
    <row r="270" ht="14.25" customHeight="1">
      <c r="C270" s="1" t="s">
        <v>31</v>
      </c>
      <c r="D270" s="1">
        <f>D269+F269+H269</f>
        <v>138.6135170084087</v>
      </c>
      <c r="E270" s="1" t="s">
        <v>258</v>
      </c>
    </row>
    <row r="271">
      <c r="D271" s="1" t="s">
        <v>377</v>
      </c>
    </row>
    <row r="272" ht="15.75" customHeight="1">
      <c r="B272" s="1" t="s">
        <v>378</v>
      </c>
      <c r="C272" s="1" t="s">
        <v>31</v>
      </c>
      <c r="D272" s="1">
        <f>D269</f>
        <v>99.20433809880244</v>
      </c>
      <c r="E272" s="1" t="s">
        <v>114</v>
      </c>
      <c r="F272" s="1">
        <f>F269</f>
        <v>12.355058965674429</v>
      </c>
      <c r="G272" s="1" t="s">
        <v>114</v>
      </c>
      <c r="H272" s="1">
        <f>H269</f>
        <v>27.054119943931834</v>
      </c>
    </row>
    <row r="273" ht="14.25" customHeight="1">
      <c r="C273" s="1" t="s">
        <v>31</v>
      </c>
      <c r="D273" s="1">
        <f>D272-F272-H272</f>
        <v>59.79515918919617</v>
      </c>
      <c r="E273" s="1" t="s">
        <v>258</v>
      </c>
    </row>
    <row r="274">
      <c r="D274" s="1" t="s">
        <v>379</v>
      </c>
    </row>
    <row r="275"/>
    <row r="276">
      <c r="B276" s="1" t="s">
        <v>380</v>
      </c>
      <c r="C276" s="1" t="s">
        <v>318</v>
      </c>
      <c r="D276" s="1">
        <f>D263</f>
        <v>5073.0874353053905</v>
      </c>
      <c r="E276" s="1" t="s">
        <v>85</v>
      </c>
      <c r="F276" s="1">
        <f>$J$209</f>
        <v>45.599999999999994</v>
      </c>
      <c r="G276" s="1" t="s">
        <v>374</v>
      </c>
      <c r="H276" s="1">
        <f>$J$265</f>
        <v>356.81410292867747</v>
      </c>
      <c r="I276" s="1" t="s">
        <v>85</v>
      </c>
      <c r="J276" s="1">
        <f>$J$211</f>
        <v>28.88</v>
      </c>
      <c r="K276" s="1" t="s">
        <v>374</v>
      </c>
      <c r="L276" s="1">
        <f>$J$266</f>
        <v>2467.335738886583</v>
      </c>
      <c r="M276" s="1" t="s">
        <v>85</v>
      </c>
      <c r="N276" s="1">
        <f>$J$212</f>
        <v>91.19999999999999</v>
      </c>
      <c r="O276" s="1" t="s">
        <v>83</v>
      </c>
    </row>
    <row r="277">
      <c r="C277" s="1" t="s">
        <v>31</v>
      </c>
      <c r="D277" s="1">
        <f>D276/F276</f>
        <v>111.2519174409077</v>
      </c>
      <c r="E277" s="1" t="s">
        <v>375</v>
      </c>
      <c r="F277" s="1">
        <f>H276/J276</f>
        <v>12.355058965674429</v>
      </c>
      <c r="G277" s="1" t="s">
        <v>375</v>
      </c>
      <c r="H277" s="1">
        <f>L276/N276</f>
        <v>27.054119943931834</v>
      </c>
    </row>
    <row r="278" ht="15.75" customHeight="1">
      <c r="B278" s="1" t="s">
        <v>376</v>
      </c>
      <c r="C278" s="1" t="s">
        <v>31</v>
      </c>
      <c r="D278" s="1">
        <f>D277</f>
        <v>111.2519174409077</v>
      </c>
      <c r="E278" s="1" t="s">
        <v>126</v>
      </c>
      <c r="F278" s="1">
        <f>F277</f>
        <v>12.355058965674429</v>
      </c>
      <c r="G278" s="1" t="s">
        <v>126</v>
      </c>
      <c r="H278" s="1">
        <f>H277</f>
        <v>27.054119943931834</v>
      </c>
    </row>
    <row r="279" ht="14.25" customHeight="1">
      <c r="C279" s="1" t="s">
        <v>31</v>
      </c>
      <c r="D279" s="1">
        <f>D278+F278+H278-12</f>
        <v>138.66109635051396</v>
      </c>
      <c r="E279" s="1" t="s">
        <v>258</v>
      </c>
    </row>
    <row r="280">
      <c r="D280" s="1" t="s">
        <v>377</v>
      </c>
    </row>
    <row r="281" ht="15.75" customHeight="1">
      <c r="B281" s="1" t="s">
        <v>378</v>
      </c>
      <c r="C281" s="1" t="s">
        <v>31</v>
      </c>
      <c r="D281" s="1">
        <f>D278</f>
        <v>111.2519174409077</v>
      </c>
      <c r="E281" s="1" t="s">
        <v>114</v>
      </c>
      <c r="F281" s="1">
        <f>F278</f>
        <v>12.355058965674429</v>
      </c>
      <c r="G281" s="1" t="s">
        <v>114</v>
      </c>
      <c r="H281" s="1">
        <f>H278</f>
        <v>27.054119943931834</v>
      </c>
    </row>
    <row r="282" ht="14.25" customHeight="1">
      <c r="C282" s="1" t="s">
        <v>31</v>
      </c>
      <c r="D282" s="1">
        <f>D281-F281-H281</f>
        <v>71.84273853130144</v>
      </c>
      <c r="E282" s="1" t="s">
        <v>258</v>
      </c>
    </row>
    <row r="283">
      <c r="D283" s="1" t="s">
        <v>379</v>
      </c>
    </row>
    <row r="284"/>
    <row r="285">
      <c r="B285" s="4" t="s">
        <f>CONCATENATE("CASE- 4 FOR WIND FORCE AT IDLE CONDITION AT R. L.",E20," M")</f>
        <v>385</v>
      </c>
      <c r="G285" s="1" t="s">
        <v>386</v>
      </c>
    </row>
    <row r="286" hidden="1"/>
    <row r="287">
      <c r="B287" s="1" t="s">
        <v>268</v>
      </c>
      <c r="C287" s="1" t="s">
        <v>31</v>
      </c>
      <c r="D287" s="1">
        <f>D259</f>
        <v>1463.6159999999998</v>
      </c>
      <c r="E287" s="1" t="s">
        <v>182</v>
      </c>
    </row>
    <row r="288">
      <c r="B288" s="1" t="s">
        <v>270</v>
      </c>
      <c r="C288" s="1" t="s">
        <v>31</v>
      </c>
      <c r="D288" s="1">
        <f>D260</f>
        <v>2821.2050880000015</v>
      </c>
      <c r="E288" s="1" t="s">
        <v>182</v>
      </c>
      <c r="F288" s="1" t="s">
        <v>359</v>
      </c>
    </row>
    <row r="289">
      <c r="B289" s="1" t="s">
        <v>270</v>
      </c>
      <c r="C289" s="1" t="s">
        <v>31</v>
      </c>
      <c r="D289" s="1">
        <f>D261</f>
        <v>2271.835470000002</v>
      </c>
      <c r="E289" s="1" t="s">
        <v>182</v>
      </c>
      <c r="F289" s="1" t="s">
        <v>360</v>
      </c>
    </row>
    <row r="290">
      <c r="B290" s="1" t="s">
        <v>361</v>
      </c>
      <c r="C290" s="1" t="s">
        <v>31</v>
      </c>
      <c r="D290" s="1">
        <v>0</v>
      </c>
      <c r="E290" s="1" t="s">
        <v>182</v>
      </c>
    </row>
    <row r="291">
      <c r="B291" s="1" t="s">
        <v>362</v>
      </c>
      <c r="C291" s="1" t="s">
        <v>31</v>
      </c>
      <c r="D291" s="1">
        <f>D287+D288</f>
        <v>4284.8210880000015</v>
      </c>
      <c r="E291" s="1" t="s">
        <v>182</v>
      </c>
    </row>
    <row r="292">
      <c r="B292" s="1" t="s">
        <v>363</v>
      </c>
      <c r="C292" s="1" t="s">
        <v>31</v>
      </c>
      <c r="D292" s="1">
        <f>D289+D287</f>
        <v>3735.451470000002</v>
      </c>
      <c r="E292" s="1" t="s">
        <v>182</v>
      </c>
    </row>
    <row r="293">
      <c r="B293" s="1" t="s">
        <v>364</v>
      </c>
      <c r="C293" s="1" t="s">
        <v>31</v>
      </c>
      <c r="D293" s="1">
        <f>$J$117</f>
        <v>112.56078556340799</v>
      </c>
      <c r="E293" s="1" t="s">
        <v>301</v>
      </c>
    </row>
    <row r="294">
      <c r="B294" s="1" t="s">
        <v>365</v>
      </c>
      <c r="C294" s="1" t="s">
        <v>31</v>
      </c>
      <c r="D294" s="1">
        <f>$J$158</f>
        <v>112.56078556340799</v>
      </c>
      <c r="E294" s="1" t="s">
        <v>126</v>
      </c>
      <c r="F294" s="1">
        <f>$L$196</f>
        <v>106.89375811359393</v>
      </c>
      <c r="G294" s="1" t="s">
        <v>31</v>
      </c>
      <c r="H294" s="1">
        <f>D294+F294</f>
        <v>219.45454367700194</v>
      </c>
      <c r="I294" s="1" t="s">
        <v>301</v>
      </c>
    </row>
    <row r="295">
      <c r="B295" s="1" t="s">
        <v>373</v>
      </c>
      <c r="C295" s="1" t="s">
        <v>318</v>
      </c>
      <c r="D295" s="1">
        <f>D292</f>
        <v>3735.451470000002</v>
      </c>
      <c r="E295" s="1" t="s">
        <v>85</v>
      </c>
      <c r="F295" s="1">
        <f>$J$209</f>
        <v>45.599999999999994</v>
      </c>
      <c r="G295" s="1" t="s">
        <v>374</v>
      </c>
      <c r="H295" s="1">
        <f>$J$117</f>
        <v>112.56078556340799</v>
      </c>
      <c r="I295" s="1" t="s">
        <v>85</v>
      </c>
      <c r="J295" s="1">
        <f>$J$211</f>
        <v>28.88</v>
      </c>
      <c r="K295" s="1" t="s">
        <v>374</v>
      </c>
      <c r="L295" s="1">
        <f>H294</f>
        <v>219.45454367700194</v>
      </c>
      <c r="M295" s="1" t="s">
        <v>85</v>
      </c>
      <c r="N295" s="1">
        <f>$J$212</f>
        <v>91.19999999999999</v>
      </c>
      <c r="O295" s="1" t="s">
        <v>83</v>
      </c>
    </row>
    <row r="296">
      <c r="C296" s="1" t="s">
        <v>31</v>
      </c>
      <c r="D296" s="1">
        <f>D295/F295</f>
        <v>81.91779539473688</v>
      </c>
      <c r="E296" s="1" t="s">
        <v>375</v>
      </c>
      <c r="F296" s="1">
        <f>H295/J295</f>
        <v>3.8975341261567866</v>
      </c>
      <c r="G296" s="1" t="s">
        <v>375</v>
      </c>
      <c r="H296" s="1">
        <f>L295/N295</f>
        <v>2.4062998210197586</v>
      </c>
    </row>
    <row r="297" ht="15.75" customHeight="1">
      <c r="B297" s="1" t="s">
        <v>376</v>
      </c>
      <c r="C297" s="1" t="s">
        <v>31</v>
      </c>
      <c r="D297" s="1">
        <f>D296</f>
        <v>81.91779539473688</v>
      </c>
      <c r="E297" s="1" t="s">
        <v>126</v>
      </c>
      <c r="F297" s="1">
        <f>F296</f>
        <v>3.8975341261567866</v>
      </c>
      <c r="G297" s="1" t="s">
        <v>126</v>
      </c>
      <c r="H297" s="1">
        <f>H296</f>
        <v>2.4062998210197586</v>
      </c>
    </row>
    <row r="298" ht="15" customHeight="1">
      <c r="C298" s="1" t="s">
        <v>31</v>
      </c>
      <c r="D298" s="1">
        <f>D297+F297+H297</f>
        <v>88.22162934191343</v>
      </c>
      <c r="E298" s="1" t="s">
        <v>258</v>
      </c>
      <c r="J298" s="1">
        <f>D304</f>
        <v>83.40902969987391</v>
      </c>
      <c r="N298" s="1">
        <f>D307</f>
        <v>80.42656108959986</v>
      </c>
    </row>
    <row r="299">
      <c r="D299" s="1" t="s">
        <v>377</v>
      </c>
    </row>
    <row r="300" ht="15.75" customHeight="1">
      <c r="B300" s="1" t="s">
        <v>378</v>
      </c>
      <c r="C300" s="1" t="s">
        <v>31</v>
      </c>
      <c r="D300" s="1">
        <f>D297</f>
        <v>81.91779539473688</v>
      </c>
      <c r="E300" s="1" t="s">
        <v>114</v>
      </c>
      <c r="F300" s="1">
        <f>F297</f>
        <v>3.8975341261567866</v>
      </c>
      <c r="G300" s="1" t="s">
        <v>114</v>
      </c>
      <c r="H300" s="1">
        <f>H297</f>
        <v>2.4062998210197586</v>
      </c>
    </row>
    <row r="301" ht="14.25" customHeight="1">
      <c r="C301" s="1" t="s">
        <v>31</v>
      </c>
      <c r="D301" s="1">
        <f>D300-F300-H300</f>
        <v>75.61396144756034</v>
      </c>
      <c r="E301" s="1" t="s">
        <v>258</v>
      </c>
    </row>
    <row r="302">
      <c r="D302" s="1" t="s">
        <v>379</v>
      </c>
    </row>
    <row r="303" ht="16.5" customHeight="1">
      <c r="B303" s="1" t="s">
        <v>387</v>
      </c>
      <c r="C303" s="1" t="s">
        <v>31</v>
      </c>
      <c r="D303" s="1">
        <f>D297</f>
        <v>81.91779539473688</v>
      </c>
      <c r="E303" s="1" t="s">
        <v>126</v>
      </c>
      <c r="F303" s="1">
        <f>F297</f>
        <v>3.8975341261567866</v>
      </c>
      <c r="G303" s="1" t="s">
        <v>114</v>
      </c>
      <c r="H303" s="1">
        <f>H297</f>
        <v>2.4062998210197586</v>
      </c>
    </row>
    <row r="304" ht="14.25" customHeight="1">
      <c r="C304" s="1" t="s">
        <v>31</v>
      </c>
      <c r="D304" s="1">
        <f>D303+F303-H303</f>
        <v>83.40902969987391</v>
      </c>
      <c r="E304" s="1" t="s">
        <v>258</v>
      </c>
      <c r="J304" s="1">
        <f>D301</f>
        <v>75.61396144756034</v>
      </c>
      <c r="N304" s="1">
        <f>D298</f>
        <v>88.22162934191343</v>
      </c>
    </row>
    <row r="305">
      <c r="D305" s="1" t="s">
        <v>377</v>
      </c>
      <c r="K305" s="1" t="s">
        <v>388</v>
      </c>
    </row>
    <row r="306" ht="15.75" customHeight="1">
      <c r="B306" s="1" t="s">
        <v>389</v>
      </c>
      <c r="C306" s="1" t="s">
        <v>31</v>
      </c>
      <c r="D306" s="1">
        <f>D303</f>
        <v>81.91779539473688</v>
      </c>
      <c r="E306" s="1" t="s">
        <v>114</v>
      </c>
      <c r="F306" s="1">
        <f>F303</f>
        <v>3.8975341261567866</v>
      </c>
      <c r="G306" s="1" t="s">
        <v>126</v>
      </c>
      <c r="H306" s="1">
        <f>H303</f>
        <v>2.4062998210197586</v>
      </c>
    </row>
    <row r="307" ht="14.25" customHeight="1">
      <c r="C307" s="1" t="s">
        <v>31</v>
      </c>
      <c r="D307" s="1">
        <f>D306-F306+H306</f>
        <v>80.42656108959986</v>
      </c>
      <c r="E307" s="1" t="s">
        <v>258</v>
      </c>
    </row>
    <row r="308">
      <c r="D308" s="1" t="s">
        <v>379</v>
      </c>
    </row>
    <row r="309">
      <c r="B309" s="1" t="s">
        <v>380</v>
      </c>
      <c r="C309" s="1" t="s">
        <v>318</v>
      </c>
      <c r="D309" s="1">
        <f>D291</f>
        <v>4284.8210880000015</v>
      </c>
      <c r="E309" s="1" t="s">
        <v>85</v>
      </c>
      <c r="F309" s="1">
        <f>$J$209</f>
        <v>45.599999999999994</v>
      </c>
      <c r="G309" s="1" t="s">
        <v>374</v>
      </c>
      <c r="H309" s="1">
        <f>$J$117</f>
        <v>112.56078556340799</v>
      </c>
      <c r="I309" s="1" t="s">
        <v>85</v>
      </c>
      <c r="J309" s="1">
        <f>$J$211</f>
        <v>28.88</v>
      </c>
      <c r="K309" s="1" t="s">
        <v>374</v>
      </c>
      <c r="L309" s="1">
        <f>L295</f>
        <v>219.45454367700194</v>
      </c>
      <c r="M309" s="1" t="s">
        <v>85</v>
      </c>
      <c r="N309" s="1">
        <f>$J$212</f>
        <v>91.19999999999999</v>
      </c>
      <c r="O309" s="1" t="s">
        <v>83</v>
      </c>
    </row>
    <row r="310">
      <c r="C310" s="1" t="s">
        <v>31</v>
      </c>
      <c r="D310" s="1">
        <f>D309/F309</f>
        <v>93.96537473684215</v>
      </c>
      <c r="E310" s="1" t="s">
        <v>375</v>
      </c>
      <c r="F310" s="1">
        <f>H309/J309</f>
        <v>3.8975341261567866</v>
      </c>
      <c r="G310" s="1" t="s">
        <v>375</v>
      </c>
      <c r="H310" s="1">
        <f>L309/N309</f>
        <v>2.4062998210197586</v>
      </c>
    </row>
    <row r="311" ht="16.5" customHeight="1">
      <c r="B311" s="1" t="s">
        <v>376</v>
      </c>
      <c r="C311" s="1" t="s">
        <v>31</v>
      </c>
      <c r="D311" s="1">
        <f>D310</f>
        <v>93.96537473684215</v>
      </c>
      <c r="E311" s="1" t="s">
        <v>126</v>
      </c>
      <c r="F311" s="1">
        <f>F310</f>
        <v>3.8975341261567866</v>
      </c>
      <c r="G311" s="1" t="s">
        <v>126</v>
      </c>
      <c r="H311" s="1">
        <f>H310</f>
        <v>2.4062998210197586</v>
      </c>
      <c r="J311" s="1">
        <f>D311-F311+H311</f>
        <v>92.47414043170512</v>
      </c>
      <c r="N311" s="1">
        <f>D311+F311-H311</f>
        <v>95.45660904197918</v>
      </c>
    </row>
    <row r="312" ht="14.25" customHeight="1">
      <c r="C312" s="1" t="s">
        <v>31</v>
      </c>
      <c r="D312" s="1">
        <f>D311+F311+H311</f>
        <v>100.2692086840187</v>
      </c>
      <c r="E312" s="1" t="s">
        <v>258</v>
      </c>
    </row>
    <row r="313">
      <c r="D313" s="1" t="s">
        <v>377</v>
      </c>
    </row>
    <row r="314" ht="15.75" customHeight="1">
      <c r="B314" s="1" t="s">
        <v>378</v>
      </c>
      <c r="C314" s="1" t="s">
        <v>31</v>
      </c>
      <c r="D314" s="1">
        <f>D311</f>
        <v>93.96537473684215</v>
      </c>
      <c r="E314" s="1" t="s">
        <v>114</v>
      </c>
      <c r="F314" s="1">
        <f>F311</f>
        <v>3.8975341261567866</v>
      </c>
      <c r="G314" s="1" t="s">
        <v>114</v>
      </c>
      <c r="H314" s="1">
        <f>H311</f>
        <v>2.4062998210197586</v>
      </c>
    </row>
    <row r="315" ht="15" customHeight="1">
      <c r="C315" s="1" t="s">
        <v>31</v>
      </c>
      <c r="D315" s="1">
        <f>D314-F314-H314</f>
        <v>87.66154078966561</v>
      </c>
      <c r="E315" s="1" t="s">
        <v>258</v>
      </c>
    </row>
    <row r="316">
      <c r="D316" s="1" t="s">
        <v>379</v>
      </c>
      <c r="J316" s="1">
        <f>D315</f>
        <v>87.66154078966561</v>
      </c>
      <c r="N316" s="1">
        <f>D312</f>
        <v>100.2692086840187</v>
      </c>
    </row>
    <row r="317">
      <c r="K317" s="1" t="s">
        <v>388</v>
      </c>
    </row>
    <row r="318"/>
    <row r="319">
      <c r="B319" s="4" t="s">
        <f>CONCATENATE("CASE- 5 FOR ONE SPAN DISLODGED CONDITION AT R. L.",E20," M")</f>
        <v>390</v>
      </c>
    </row>
    <row r="320" hidden="1"/>
    <row r="321">
      <c r="B321" s="1" t="s">
        <v>268</v>
      </c>
      <c r="C321" s="1" t="s">
        <v>31</v>
      </c>
      <c r="D321" s="1">
        <f>D287/2</f>
        <v>731.8079999999999</v>
      </c>
      <c r="E321" s="1" t="s">
        <v>182</v>
      </c>
    </row>
    <row r="322">
      <c r="B322" s="1" t="s">
        <v>270</v>
      </c>
      <c r="C322" s="1" t="s">
        <v>31</v>
      </c>
      <c r="D322" s="1">
        <f>D288</f>
        <v>2821.2050880000015</v>
      </c>
      <c r="E322" s="1" t="s">
        <v>182</v>
      </c>
      <c r="F322" s="1" t="s">
        <v>359</v>
      </c>
    </row>
    <row r="323">
      <c r="B323" s="1" t="s">
        <v>270</v>
      </c>
      <c r="C323" s="1" t="s">
        <v>31</v>
      </c>
      <c r="D323" s="1">
        <f>D289</f>
        <v>2271.835470000002</v>
      </c>
      <c r="E323" s="1" t="s">
        <v>182</v>
      </c>
      <c r="F323" s="1" t="s">
        <v>360</v>
      </c>
    </row>
    <row r="324">
      <c r="B324" s="1" t="s">
        <v>361</v>
      </c>
      <c r="C324" s="1" t="s">
        <v>31</v>
      </c>
      <c r="D324" s="1">
        <v>0</v>
      </c>
      <c r="E324" s="1" t="s">
        <v>182</v>
      </c>
    </row>
    <row r="325">
      <c r="B325" s="1" t="s">
        <v>362</v>
      </c>
      <c r="C325" s="1" t="s">
        <v>31</v>
      </c>
      <c r="D325" s="1">
        <f>D321+D322</f>
        <v>3553.0130880000015</v>
      </c>
      <c r="E325" s="1" t="s">
        <v>182</v>
      </c>
    </row>
    <row r="326">
      <c r="B326" s="1" t="s">
        <v>363</v>
      </c>
      <c r="C326" s="1" t="s">
        <v>31</v>
      </c>
      <c r="D326" s="1">
        <f>D323+D321</f>
        <v>3003.643470000002</v>
      </c>
      <c r="E326" s="1" t="s">
        <v>182</v>
      </c>
    </row>
    <row r="327">
      <c r="B327" s="1" t="s">
        <v>364</v>
      </c>
      <c r="C327" s="1" t="s">
        <v>31</v>
      </c>
      <c r="D327" s="1">
        <f>D293</f>
        <v>112.56078556340799</v>
      </c>
      <c r="E327" s="1" t="s">
        <v>301</v>
      </c>
    </row>
    <row r="328">
      <c r="B328" s="1" t="s">
        <v>365</v>
      </c>
      <c r="C328" s="1" t="s">
        <v>31</v>
      </c>
      <c r="D328" s="1">
        <f>D294</f>
        <v>112.56078556340799</v>
      </c>
      <c r="E328" s="1" t="s">
        <v>126</v>
      </c>
      <c r="F328" s="1">
        <f>F294</f>
        <v>106.89375811359393</v>
      </c>
      <c r="G328" s="1" t="s">
        <v>31</v>
      </c>
      <c r="H328" s="1">
        <f>D328+F328</f>
        <v>219.45454367700194</v>
      </c>
      <c r="I328" s="1" t="s">
        <v>301</v>
      </c>
    </row>
    <row r="329">
      <c r="B329" s="1" t="s">
        <v>373</v>
      </c>
      <c r="C329" s="1" t="s">
        <v>318</v>
      </c>
      <c r="D329" s="1">
        <f>D326</f>
        <v>3003.643470000002</v>
      </c>
      <c r="E329" s="1" t="s">
        <v>85</v>
      </c>
      <c r="F329" s="1">
        <f>$J$209</f>
        <v>45.599999999999994</v>
      </c>
      <c r="G329" s="1" t="s">
        <v>374</v>
      </c>
      <c r="H329" s="1">
        <f>$J$117</f>
        <v>112.56078556340799</v>
      </c>
      <c r="I329" s="1" t="s">
        <v>85</v>
      </c>
      <c r="J329" s="1">
        <f>$J$211</f>
        <v>28.88</v>
      </c>
      <c r="K329" s="1" t="s">
        <v>374</v>
      </c>
      <c r="L329" s="1">
        <f>H328</f>
        <v>219.45454367700194</v>
      </c>
      <c r="M329" s="1" t="s">
        <v>85</v>
      </c>
      <c r="N329" s="1">
        <f>$J$212</f>
        <v>91.19999999999999</v>
      </c>
      <c r="O329" s="1" t="s">
        <v>83</v>
      </c>
    </row>
    <row r="330">
      <c r="C330" s="1" t="s">
        <v>31</v>
      </c>
      <c r="D330" s="1">
        <f>D329/F329</f>
        <v>65.86937434210532</v>
      </c>
      <c r="E330" s="1" t="s">
        <v>375</v>
      </c>
      <c r="F330" s="1">
        <f>H329/J329</f>
        <v>3.8975341261567866</v>
      </c>
      <c r="G330" s="1" t="s">
        <v>375</v>
      </c>
      <c r="H330" s="1">
        <f>L329/N329</f>
        <v>2.4062998210197586</v>
      </c>
    </row>
    <row r="331" ht="15.75" customHeight="1">
      <c r="B331" s="1" t="s">
        <v>376</v>
      </c>
      <c r="C331" s="1" t="s">
        <v>31</v>
      </c>
      <c r="D331" s="1">
        <f>D330</f>
        <v>65.86937434210532</v>
      </c>
      <c r="E331" s="1" t="s">
        <v>126</v>
      </c>
      <c r="F331" s="1">
        <f>F330</f>
        <v>3.8975341261567866</v>
      </c>
      <c r="G331" s="1" t="s">
        <v>126</v>
      </c>
      <c r="H331" s="1">
        <f>H330</f>
        <v>2.4062998210197586</v>
      </c>
    </row>
    <row r="332" ht="15" customHeight="1">
      <c r="C332" s="1" t="s">
        <v>31</v>
      </c>
      <c r="D332" s="1">
        <f>D331+F331+H331</f>
        <v>72.17320828928186</v>
      </c>
      <c r="E332" s="1" t="s">
        <v>258</v>
      </c>
      <c r="J332" s="1">
        <f>D340</f>
        <v>64.37814003696829</v>
      </c>
      <c r="N332" s="1">
        <f>D337</f>
        <v>67.36060864724234</v>
      </c>
    </row>
    <row r="333">
      <c r="D333" s="1" t="s">
        <v>377</v>
      </c>
    </row>
    <row r="334" ht="15.75" customHeight="1">
      <c r="B334" s="1" t="s">
        <v>378</v>
      </c>
      <c r="C334" s="1" t="s">
        <v>31</v>
      </c>
      <c r="D334" s="1">
        <f>D331</f>
        <v>65.86937434210532</v>
      </c>
      <c r="E334" s="1" t="s">
        <v>114</v>
      </c>
      <c r="F334" s="1">
        <f>F331</f>
        <v>3.8975341261567866</v>
      </c>
      <c r="G334" s="1" t="s">
        <v>114</v>
      </c>
      <c r="H334" s="1">
        <f>H331</f>
        <v>2.4062998210197586</v>
      </c>
    </row>
    <row r="335" ht="14.25" customHeight="1">
      <c r="C335" s="1" t="s">
        <v>31</v>
      </c>
      <c r="D335" s="1">
        <f>D334-F334-H334</f>
        <v>59.565540394928775</v>
      </c>
      <c r="E335" s="1" t="s">
        <v>258</v>
      </c>
    </row>
    <row r="336" ht="16.5" customHeight="1">
      <c r="B336" s="1" t="s">
        <v>387</v>
      </c>
      <c r="C336" s="1" t="s">
        <v>31</v>
      </c>
      <c r="D336" s="1">
        <f>D331</f>
        <v>65.86937434210532</v>
      </c>
      <c r="E336" s="1" t="s">
        <v>126</v>
      </c>
      <c r="F336" s="1">
        <f>F331</f>
        <v>3.8975341261567866</v>
      </c>
      <c r="G336" s="1" t="s">
        <v>114</v>
      </c>
      <c r="H336" s="1">
        <f>H331</f>
        <v>2.4062998210197586</v>
      </c>
    </row>
    <row r="337" ht="14.25" customHeight="1">
      <c r="C337" s="1" t="s">
        <v>31</v>
      </c>
      <c r="D337" s="1">
        <f>D336+F336-H336</f>
        <v>67.36060864724234</v>
      </c>
      <c r="E337" s="1" t="s">
        <v>258</v>
      </c>
      <c r="J337" s="1">
        <f>D335</f>
        <v>59.565540394928775</v>
      </c>
      <c r="N337" s="1">
        <f>D332</f>
        <v>72.17320828928186</v>
      </c>
    </row>
    <row r="338">
      <c r="K338" s="1" t="s">
        <v>388</v>
      </c>
    </row>
    <row r="339" ht="15.75" customHeight="1">
      <c r="B339" s="1" t="s">
        <v>389</v>
      </c>
      <c r="C339" s="1" t="s">
        <v>31</v>
      </c>
      <c r="D339" s="1">
        <f>D336</f>
        <v>65.86937434210532</v>
      </c>
      <c r="E339" s="1" t="s">
        <v>114</v>
      </c>
      <c r="F339" s="1">
        <f>F336</f>
        <v>3.8975341261567866</v>
      </c>
      <c r="G339" s="1" t="s">
        <v>126</v>
      </c>
      <c r="H339" s="1">
        <f>H336</f>
        <v>2.4062998210197586</v>
      </c>
    </row>
    <row r="340" ht="14.25" customHeight="1">
      <c r="C340" s="1" t="s">
        <v>31</v>
      </c>
      <c r="D340" s="1">
        <f>D339-F339+H339</f>
        <v>64.37814003696829</v>
      </c>
      <c r="E340" s="1" t="s">
        <v>258</v>
      </c>
    </row>
    <row r="341"/>
    <row r="342"/>
    <row r="343">
      <c r="B343" s="1" t="s">
        <v>380</v>
      </c>
      <c r="C343" s="1" t="s">
        <v>318</v>
      </c>
      <c r="D343" s="1">
        <f>D325</f>
        <v>3553.0130880000015</v>
      </c>
      <c r="E343" s="1" t="s">
        <v>85</v>
      </c>
      <c r="F343" s="1">
        <f>$J$209</f>
        <v>45.599999999999994</v>
      </c>
      <c r="G343" s="1" t="s">
        <v>374</v>
      </c>
      <c r="H343" s="1">
        <f>$J$117</f>
        <v>112.56078556340799</v>
      </c>
      <c r="I343" s="1" t="s">
        <v>85</v>
      </c>
      <c r="J343" s="1">
        <f>$J$211</f>
        <v>28.88</v>
      </c>
      <c r="K343" s="1" t="s">
        <v>374</v>
      </c>
      <c r="L343" s="1">
        <f>H342</f>
        <v>0</v>
      </c>
      <c r="M343" s="1" t="s">
        <v>85</v>
      </c>
      <c r="N343" s="1">
        <f>$J$212</f>
        <v>91.19999999999999</v>
      </c>
      <c r="O343" s="1" t="s">
        <v>83</v>
      </c>
    </row>
    <row r="344">
      <c r="C344" s="1" t="s">
        <v>31</v>
      </c>
      <c r="D344" s="1">
        <f>D343/F343</f>
        <v>77.91695368421057</v>
      </c>
      <c r="E344" s="1" t="s">
        <v>375</v>
      </c>
      <c r="F344" s="1">
        <f>H343/J343</f>
        <v>3.8975341261567866</v>
      </c>
      <c r="G344" s="1" t="s">
        <v>375</v>
      </c>
      <c r="H344" s="1">
        <f>L343/N343</f>
        <v>0</v>
      </c>
    </row>
    <row r="345" ht="15.75" customHeight="1">
      <c r="B345" s="1" t="s">
        <v>376</v>
      </c>
      <c r="C345" s="1" t="s">
        <v>31</v>
      </c>
      <c r="D345" s="1">
        <f>D344</f>
        <v>77.91695368421057</v>
      </c>
      <c r="E345" s="1" t="s">
        <v>126</v>
      </c>
      <c r="F345" s="1">
        <f>F344</f>
        <v>3.8975341261567866</v>
      </c>
      <c r="G345" s="1" t="s">
        <v>126</v>
      </c>
      <c r="H345" s="1">
        <f>H344</f>
        <v>0</v>
      </c>
    </row>
    <row r="346" ht="15" customHeight="1">
      <c r="C346" s="1" t="s">
        <v>31</v>
      </c>
      <c r="D346" s="1">
        <f>D345+F345+H345</f>
        <v>81.81448781036735</v>
      </c>
      <c r="E346" s="1" t="s">
        <v>258</v>
      </c>
      <c r="J346" s="1">
        <f>D354</f>
        <v>74.01941955805378</v>
      </c>
      <c r="N346" s="1">
        <f>D351</f>
        <v>81.81448781036735</v>
      </c>
    </row>
    <row r="347"/>
    <row r="348" ht="15.75" customHeight="1">
      <c r="B348" s="1" t="s">
        <v>378</v>
      </c>
      <c r="C348" s="1" t="s">
        <v>31</v>
      </c>
      <c r="D348" s="1">
        <f>D345</f>
        <v>77.91695368421057</v>
      </c>
      <c r="E348" s="1" t="s">
        <v>114</v>
      </c>
      <c r="F348" s="1">
        <f>F345</f>
        <v>3.8975341261567866</v>
      </c>
      <c r="G348" s="1" t="s">
        <v>114</v>
      </c>
      <c r="H348" s="1">
        <f>H345</f>
        <v>0</v>
      </c>
    </row>
    <row r="349" ht="14.25" customHeight="1">
      <c r="C349" s="1" t="s">
        <v>31</v>
      </c>
      <c r="D349" s="1">
        <f>D348-F348-H348</f>
        <v>74.01941955805378</v>
      </c>
      <c r="E349" s="1" t="s">
        <v>258</v>
      </c>
    </row>
    <row r="350" ht="16.5" customHeight="1">
      <c r="B350" s="1" t="s">
        <v>387</v>
      </c>
      <c r="C350" s="1" t="s">
        <v>31</v>
      </c>
      <c r="D350" s="1">
        <f>D345</f>
        <v>77.91695368421057</v>
      </c>
      <c r="E350" s="1" t="s">
        <v>126</v>
      </c>
      <c r="F350" s="1">
        <f>F345</f>
        <v>3.8975341261567866</v>
      </c>
      <c r="G350" s="1" t="s">
        <v>114</v>
      </c>
      <c r="H350" s="1">
        <f>H345</f>
        <v>0</v>
      </c>
    </row>
    <row r="351" ht="14.25" customHeight="1">
      <c r="C351" s="1" t="s">
        <v>31</v>
      </c>
      <c r="D351" s="1">
        <f>D350+F350-H350</f>
        <v>81.81448781036735</v>
      </c>
      <c r="E351" s="1" t="s">
        <v>258</v>
      </c>
      <c r="J351" s="1">
        <f>D349</f>
        <v>74.01941955805378</v>
      </c>
      <c r="N351" s="1">
        <f>D346</f>
        <v>81.81448781036735</v>
      </c>
    </row>
    <row r="352">
      <c r="K352" s="1" t="s">
        <v>388</v>
      </c>
    </row>
    <row r="353" ht="15.75" customHeight="1">
      <c r="B353" s="1" t="s">
        <v>389</v>
      </c>
      <c r="C353" s="1" t="s">
        <v>31</v>
      </c>
      <c r="D353" s="1">
        <f>D350</f>
        <v>77.91695368421057</v>
      </c>
      <c r="E353" s="1" t="s">
        <v>114</v>
      </c>
      <c r="F353" s="1">
        <f>F350</f>
        <v>3.8975341261567866</v>
      </c>
      <c r="G353" s="1" t="s">
        <v>126</v>
      </c>
      <c r="H353" s="1">
        <f>H350</f>
        <v>0</v>
      </c>
    </row>
    <row r="354" ht="14.25" customHeight="1">
      <c r="C354" s="1" t="s">
        <v>31</v>
      </c>
      <c r="D354" s="1">
        <f>D353-F353+H353</f>
        <v>74.01941955805378</v>
      </c>
      <c r="E354" s="1" t="s">
        <v>258</v>
      </c>
    </row>
    <row r="355"/>
    <row r="356">
      <c r="B356" s="4" t="s">
        <f>CONCATENATE("CASE- 6  FOR SERVICE CONDITION AT R. L.",E20+1," M")</f>
        <v>391</v>
      </c>
    </row>
    <row r="357">
      <c r="B357" s="1" t="s">
        <v>358</v>
      </c>
    </row>
    <row r="358">
      <c r="B358" s="1" t="s">
        <v>267</v>
      </c>
    </row>
    <row r="359">
      <c r="B359" s="1" t="s">
        <v>268</v>
      </c>
      <c r="C359" s="1" t="s">
        <v>31</v>
      </c>
      <c r="D359" s="1">
        <f>$D$259</f>
        <v>1463.6159999999998</v>
      </c>
      <c r="E359" s="1" t="s">
        <v>182</v>
      </c>
    </row>
    <row r="360">
      <c r="B360" s="1" t="s">
        <v>270</v>
      </c>
      <c r="C360" s="1" t="s">
        <v>31</v>
      </c>
      <c r="D360" s="1">
        <f>P56-P53</f>
        <v>1726.8050880000017</v>
      </c>
      <c r="E360" s="1" t="s">
        <v>182</v>
      </c>
      <c r="F360" s="1" t="s">
        <v>359</v>
      </c>
    </row>
    <row r="361">
      <c r="B361" s="1" t="s">
        <v>270</v>
      </c>
      <c r="C361" s="1" t="s">
        <v>31</v>
      </c>
      <c r="D361" s="1">
        <f>P59-P54</f>
        <v>1633.4354700000017</v>
      </c>
      <c r="E361" s="1" t="s">
        <v>182</v>
      </c>
      <c r="F361" s="1" t="s">
        <v>360</v>
      </c>
    </row>
    <row r="362">
      <c r="B362" s="1" t="s">
        <v>361</v>
      </c>
      <c r="C362" s="1" t="s">
        <v>31</v>
      </c>
      <c r="D362" s="1">
        <f>$D$262</f>
        <v>788.2663473053892</v>
      </c>
      <c r="E362" s="1" t="s">
        <v>182</v>
      </c>
    </row>
    <row r="363">
      <c r="B363" s="1" t="s">
        <v>362</v>
      </c>
      <c r="C363" s="1" t="s">
        <v>31</v>
      </c>
      <c r="D363" s="1">
        <f>D359+D360+D362</f>
        <v>3978.687435305391</v>
      </c>
      <c r="E363" s="1" t="s">
        <v>182</v>
      </c>
    </row>
    <row r="364">
      <c r="B364" s="1" t="s">
        <v>363</v>
      </c>
      <c r="C364" s="1" t="s">
        <v>31</v>
      </c>
      <c r="D364" s="1">
        <f>D359+D361+D362</f>
        <v>3885.3178173053902</v>
      </c>
      <c r="E364" s="1" t="s">
        <v>182</v>
      </c>
    </row>
    <row r="365">
      <c r="B365" s="1" t="s">
        <v>364</v>
      </c>
      <c r="C365" s="1" t="s">
        <v>31</v>
      </c>
      <c r="D365" s="1">
        <f>$J$113</f>
        <v>79.99720476162017</v>
      </c>
      <c r="E365" s="1" t="s">
        <v>126</v>
      </c>
      <c r="F365" s="1">
        <f>$H$66</f>
        <v>244.25331736526948</v>
      </c>
      <c r="G365" s="1" t="s">
        <v>31</v>
      </c>
      <c r="H365" s="1">
        <f>D365+F365</f>
        <v>324.2505221268897</v>
      </c>
      <c r="I365" s="1" t="s">
        <v>301</v>
      </c>
    </row>
    <row r="366">
      <c r="B366" s="1" t="s">
        <v>365</v>
      </c>
      <c r="C366" s="1" t="s">
        <v>31</v>
      </c>
      <c r="D366" s="1">
        <f>$J$154</f>
        <v>79.99720476162017</v>
      </c>
      <c r="E366" s="1" t="s">
        <v>126</v>
      </c>
      <c r="F366" s="1">
        <f>$H$71</f>
        <v>2247.881195209581</v>
      </c>
      <c r="G366" s="1" t="s">
        <v>31</v>
      </c>
      <c r="H366" s="1">
        <f>D366+F366</f>
        <v>2327.8783999712014</v>
      </c>
      <c r="I366" s="1" t="s">
        <v>301</v>
      </c>
    </row>
    <row r="367" ht="14.25" customHeight="1">
      <c r="B367" s="1" t="s">
        <v>366</v>
      </c>
      <c r="C367" s="1" t="s">
        <v>31</v>
      </c>
      <c r="D367" s="1">
        <v>12</v>
      </c>
      <c r="E367" s="1" t="s">
        <v>69</v>
      </c>
      <c r="F367" s="1">
        <v>1.2</v>
      </c>
      <c r="I367" s="1" t="s">
        <v>31</v>
      </c>
      <c r="J367" s="1">
        <f>D367*F367</f>
        <v>14.399999999999999</v>
      </c>
      <c r="K367" s="1" t="s">
        <v>367</v>
      </c>
    </row>
    <row r="368" hidden="1">
      <c r="C368" s="1" t="s">
        <v>31</v>
      </c>
    </row>
    <row r="369" ht="15.75" customHeight="1">
      <c r="B369" s="1" t="s">
        <v>368</v>
      </c>
      <c r="C369" s="1" t="s">
        <v>31</v>
      </c>
      <c r="D369" s="1" t="s">
        <v>369</v>
      </c>
      <c r="E369" s="1">
        <f>D367</f>
        <v>12</v>
      </c>
      <c r="F369" s="1" t="s">
        <v>69</v>
      </c>
      <c r="G369" s="1">
        <f>F367</f>
        <v>1.2</v>
      </c>
      <c r="H369" s="1" t="s">
        <v>370</v>
      </c>
      <c r="I369" s="1" t="s">
        <v>31</v>
      </c>
      <c r="J369" s="1">
        <f>E369*G369^2/6</f>
        <v>2.8800000000000003</v>
      </c>
      <c r="K369" s="1" t="s">
        <v>371</v>
      </c>
    </row>
    <row r="370" ht="15.75" customHeight="1">
      <c r="B370" s="1" t="s">
        <v>372</v>
      </c>
      <c r="C370" s="1" t="s">
        <v>31</v>
      </c>
      <c r="D370" s="1" t="s">
        <v>369</v>
      </c>
      <c r="E370" s="1">
        <f>E369</f>
        <v>12</v>
      </c>
      <c r="F370" s="1" t="s">
        <v>370</v>
      </c>
      <c r="G370" s="1" t="s">
        <v>69</v>
      </c>
      <c r="H370" s="1">
        <f>G369</f>
        <v>1.2</v>
      </c>
      <c r="I370" s="1" t="s">
        <v>31</v>
      </c>
      <c r="J370" s="1">
        <f>E370^2*H370/6</f>
        <v>28.799999999999997</v>
      </c>
      <c r="K370" s="1" t="s">
        <v>371</v>
      </c>
    </row>
    <row r="371">
      <c r="B371" s="1" t="s">
        <v>373</v>
      </c>
      <c r="C371" s="1" t="s">
        <v>318</v>
      </c>
      <c r="D371" s="1">
        <f>D364</f>
        <v>3885.3178173053902</v>
      </c>
      <c r="E371" s="1" t="s">
        <v>85</v>
      </c>
      <c r="F371" s="1">
        <f>$J$367</f>
        <v>14.399999999999999</v>
      </c>
      <c r="G371" s="1" t="s">
        <v>374</v>
      </c>
      <c r="H371" s="1">
        <f>$H$365</f>
        <v>324.2505221268897</v>
      </c>
      <c r="I371" s="1" t="s">
        <v>85</v>
      </c>
      <c r="J371" s="1">
        <f>$J$369</f>
        <v>2.8800000000000003</v>
      </c>
      <c r="K371" s="1" t="s">
        <v>374</v>
      </c>
      <c r="L371" s="1">
        <f>$H$366</f>
        <v>2327.8783999712014</v>
      </c>
      <c r="M371" s="1" t="s">
        <v>85</v>
      </c>
      <c r="N371" s="1">
        <f>$J$370</f>
        <v>28.799999999999997</v>
      </c>
      <c r="O371" s="1" t="s">
        <v>83</v>
      </c>
    </row>
    <row r="372">
      <c r="C372" s="1" t="s">
        <v>31</v>
      </c>
      <c r="D372" s="1">
        <f>D371/F371</f>
        <v>269.81373731287437</v>
      </c>
      <c r="E372" s="1" t="s">
        <v>375</v>
      </c>
      <c r="F372" s="1">
        <f>H371/J371</f>
        <v>112.58698684961446</v>
      </c>
      <c r="G372" s="1" t="s">
        <v>375</v>
      </c>
      <c r="H372" s="1">
        <f>L371/N371</f>
        <v>80.82911111011117</v>
      </c>
    </row>
    <row r="373" ht="15.75" customHeight="1">
      <c r="B373" s="1" t="s">
        <v>376</v>
      </c>
      <c r="C373" s="1" t="s">
        <v>31</v>
      </c>
      <c r="D373" s="1">
        <f>D372</f>
        <v>269.81373731287437</v>
      </c>
      <c r="E373" s="1" t="s">
        <v>126</v>
      </c>
      <c r="F373" s="1">
        <f>F372</f>
        <v>112.58698684961446</v>
      </c>
      <c r="G373" s="1" t="s">
        <v>126</v>
      </c>
      <c r="H373" s="1">
        <f>H372</f>
        <v>80.82911111011117</v>
      </c>
    </row>
    <row r="374" ht="14.25" customHeight="1">
      <c r="C374" s="1" t="s">
        <v>31</v>
      </c>
      <c r="D374" s="1">
        <f>D373+F373+H373</f>
        <v>463.2298352726</v>
      </c>
      <c r="E374" s="1" t="s">
        <v>258</v>
      </c>
    </row>
    <row r="375" ht="14.25" customHeight="1">
      <c r="D375" s="1" t="s">
        <v>392</v>
      </c>
    </row>
    <row r="376" ht="15.75" customHeight="1">
      <c r="B376" s="1" t="s">
        <v>378</v>
      </c>
      <c r="C376" s="1" t="s">
        <v>31</v>
      </c>
      <c r="D376" s="1">
        <f>D373</f>
        <v>269.81373731287437</v>
      </c>
      <c r="E376" s="1" t="s">
        <v>114</v>
      </c>
      <c r="F376" s="1">
        <f>F373</f>
        <v>112.58698684961446</v>
      </c>
      <c r="G376" s="1" t="s">
        <v>114</v>
      </c>
      <c r="H376" s="1">
        <f>H373</f>
        <v>80.82911111011117</v>
      </c>
    </row>
    <row r="377" ht="14.25" customHeight="1">
      <c r="C377" s="1" t="s">
        <v>31</v>
      </c>
      <c r="D377" s="1">
        <f>D376-F376-H376</f>
        <v>76.39763935314875</v>
      </c>
      <c r="E377" s="1" t="s">
        <v>258</v>
      </c>
    </row>
    <row r="378" ht="14.25" customHeight="1">
      <c r="D378" s="1" t="s">
        <v>393</v>
      </c>
    </row>
    <row r="379"/>
    <row r="380">
      <c r="B380" s="1" t="s">
        <v>380</v>
      </c>
      <c r="C380" s="1" t="s">
        <v>318</v>
      </c>
      <c r="D380" s="1">
        <f>D363</f>
        <v>3978.687435305391</v>
      </c>
      <c r="E380" s="1" t="s">
        <v>85</v>
      </c>
      <c r="F380" s="1">
        <f>$J$367</f>
        <v>14.399999999999999</v>
      </c>
      <c r="G380" s="1" t="s">
        <v>374</v>
      </c>
      <c r="H380" s="1">
        <f>$H$365</f>
        <v>324.2505221268897</v>
      </c>
      <c r="I380" s="1" t="s">
        <v>85</v>
      </c>
      <c r="J380" s="1">
        <f>$J$369</f>
        <v>2.8800000000000003</v>
      </c>
      <c r="K380" s="1" t="s">
        <v>374</v>
      </c>
      <c r="L380" s="1">
        <f>$H$366</f>
        <v>2327.8783999712014</v>
      </c>
      <c r="M380" s="1" t="s">
        <v>85</v>
      </c>
      <c r="N380" s="1">
        <f>$J$370</f>
        <v>28.799999999999997</v>
      </c>
      <c r="O380" s="1" t="s">
        <v>83</v>
      </c>
    </row>
    <row r="381">
      <c r="C381" s="1" t="s">
        <v>31</v>
      </c>
      <c r="D381" s="1">
        <f>D380/F380</f>
        <v>276.2977385628744</v>
      </c>
      <c r="E381" s="1" t="s">
        <v>375</v>
      </c>
      <c r="F381" s="1">
        <f>H380/J380</f>
        <v>112.58698684961446</v>
      </c>
      <c r="G381" s="1" t="s">
        <v>375</v>
      </c>
      <c r="H381" s="1">
        <f>L380/N380</f>
        <v>80.82911111011117</v>
      </c>
    </row>
    <row r="382" ht="15.75" customHeight="1">
      <c r="B382" s="1" t="s">
        <v>376</v>
      </c>
      <c r="C382" s="1" t="s">
        <v>31</v>
      </c>
      <c r="D382" s="1">
        <f>D381</f>
        <v>276.2977385628744</v>
      </c>
      <c r="E382" s="1" t="s">
        <v>126</v>
      </c>
      <c r="F382" s="1">
        <f>F381</f>
        <v>112.58698684961446</v>
      </c>
      <c r="G382" s="1" t="s">
        <v>126</v>
      </c>
      <c r="H382" s="1">
        <f>H381</f>
        <v>80.82911111011117</v>
      </c>
    </row>
    <row r="383" ht="14.25" customHeight="1">
      <c r="C383" s="1" t="s">
        <v>31</v>
      </c>
      <c r="D383" s="1">
        <f>D382+F382+H382</f>
        <v>469.7138365226</v>
      </c>
      <c r="E383" s="1" t="s">
        <v>258</v>
      </c>
    </row>
    <row r="384" ht="14.25" customHeight="1">
      <c r="D384" s="1" t="s">
        <v>392</v>
      </c>
    </row>
    <row r="385" ht="15.75" customHeight="1">
      <c r="B385" s="1" t="s">
        <v>378</v>
      </c>
      <c r="C385" s="1" t="s">
        <v>31</v>
      </c>
      <c r="D385" s="1">
        <f>D382</f>
        <v>276.2977385628744</v>
      </c>
      <c r="E385" s="1" t="s">
        <v>114</v>
      </c>
      <c r="F385" s="1">
        <f>F382</f>
        <v>112.58698684961446</v>
      </c>
      <c r="G385" s="1" t="s">
        <v>114</v>
      </c>
      <c r="H385" s="1">
        <f>H382</f>
        <v>80.82911111011117</v>
      </c>
    </row>
    <row r="386" ht="14.25" customHeight="1">
      <c r="C386" s="1" t="s">
        <v>31</v>
      </c>
      <c r="D386" s="1">
        <f>D385-F385-H385</f>
        <v>82.88164060314875</v>
      </c>
      <c r="E386" s="1" t="s">
        <v>258</v>
      </c>
    </row>
    <row r="387" ht="14.25" customHeight="1">
      <c r="D387" s="1" t="s">
        <v>393</v>
      </c>
    </row>
    <row r="388">
      <c r="B388" s="4" t="s">
        <f>CONCATENATE("CASE- 7 FOR IDLE CONDITION AT R. L.",E20+1," M")</f>
        <v>394</v>
      </c>
    </row>
    <row r="389" hidden="1"/>
    <row r="390">
      <c r="B390" s="1" t="s">
        <v>268</v>
      </c>
      <c r="C390" s="1" t="s">
        <v>31</v>
      </c>
      <c r="D390" s="1">
        <f>$D$259</f>
        <v>1463.6159999999998</v>
      </c>
      <c r="E390" s="1" t="s">
        <v>182</v>
      </c>
    </row>
    <row r="391">
      <c r="B391" s="1" t="s">
        <v>270</v>
      </c>
      <c r="C391" s="1" t="s">
        <v>31</v>
      </c>
      <c r="D391" s="1">
        <f>$D$360</f>
        <v>1726.8050880000017</v>
      </c>
      <c r="E391" s="1" t="s">
        <v>182</v>
      </c>
      <c r="F391" s="1" t="s">
        <v>359</v>
      </c>
    </row>
    <row r="392">
      <c r="B392" s="1" t="s">
        <v>270</v>
      </c>
      <c r="C392" s="1" t="s">
        <v>31</v>
      </c>
      <c r="D392" s="1">
        <f>$D$361</f>
        <v>1633.4354700000017</v>
      </c>
      <c r="E392" s="1" t="s">
        <v>182</v>
      </c>
      <c r="F392" s="1" t="s">
        <v>360</v>
      </c>
    </row>
    <row r="393">
      <c r="B393" s="1" t="s">
        <v>361</v>
      </c>
      <c r="C393" s="1" t="s">
        <v>31</v>
      </c>
      <c r="D393" s="1">
        <v>0</v>
      </c>
      <c r="E393" s="1" t="s">
        <v>182</v>
      </c>
    </row>
    <row r="394">
      <c r="B394" s="1" t="s">
        <v>362</v>
      </c>
      <c r="C394" s="1" t="s">
        <v>31</v>
      </c>
      <c r="D394" s="1">
        <f>D390+D391+D393</f>
        <v>3190.4210880000014</v>
      </c>
      <c r="E394" s="1" t="s">
        <v>182</v>
      </c>
    </row>
    <row r="395">
      <c r="B395" s="1" t="s">
        <v>363</v>
      </c>
      <c r="C395" s="1" t="s">
        <v>31</v>
      </c>
      <c r="D395" s="1">
        <f>D390+D392+D393</f>
        <v>3097.0514700000012</v>
      </c>
      <c r="E395" s="1" t="s">
        <v>182</v>
      </c>
    </row>
    <row r="396">
      <c r="B396" s="1" t="s">
        <v>373</v>
      </c>
      <c r="C396" s="1" t="s">
        <v>318</v>
      </c>
      <c r="D396" s="1">
        <f>D395</f>
        <v>3097.0514700000012</v>
      </c>
      <c r="E396" s="1" t="s">
        <v>85</v>
      </c>
      <c r="F396" s="1">
        <f>$J$367</f>
        <v>14.399999999999999</v>
      </c>
      <c r="G396" s="1" t="s">
        <v>374</v>
      </c>
      <c r="H396" s="1">
        <f>$J$113</f>
        <v>79.99720476162017</v>
      </c>
      <c r="I396" s="1" t="s">
        <v>85</v>
      </c>
      <c r="J396" s="1">
        <f>$J$369</f>
        <v>2.8800000000000003</v>
      </c>
      <c r="K396" s="1" t="s">
        <v>374</v>
      </c>
      <c r="L396" s="1">
        <f>$J$154</f>
        <v>79.99720476162017</v>
      </c>
      <c r="M396" s="1" t="s">
        <v>85</v>
      </c>
      <c r="N396" s="1">
        <f>$J$370</f>
        <v>28.799999999999997</v>
      </c>
      <c r="O396" s="1" t="s">
        <v>83</v>
      </c>
    </row>
    <row r="397">
      <c r="C397" s="1" t="s">
        <v>31</v>
      </c>
      <c r="D397" s="1">
        <f>D396/F396</f>
        <v>215.0730187500001</v>
      </c>
      <c r="E397" s="1" t="s">
        <v>375</v>
      </c>
      <c r="F397" s="1">
        <f>H396/J396</f>
        <v>27.77680720889589</v>
      </c>
      <c r="G397" s="1" t="s">
        <v>375</v>
      </c>
      <c r="H397" s="1">
        <f>L396/N396</f>
        <v>2.7776807208895895</v>
      </c>
    </row>
    <row r="398" ht="15.75" customHeight="1">
      <c r="B398" s="1" t="s">
        <v>376</v>
      </c>
      <c r="C398" s="1" t="s">
        <v>31</v>
      </c>
      <c r="D398" s="1">
        <f>D397</f>
        <v>215.0730187500001</v>
      </c>
      <c r="E398" s="1" t="s">
        <v>126</v>
      </c>
      <c r="F398" s="1">
        <f>F397</f>
        <v>27.77680720889589</v>
      </c>
      <c r="G398" s="1" t="s">
        <v>126</v>
      </c>
      <c r="H398" s="1">
        <f>H397</f>
        <v>2.7776807208895895</v>
      </c>
    </row>
    <row r="399" ht="14.25" customHeight="1">
      <c r="C399" s="1" t="s">
        <v>31</v>
      </c>
      <c r="D399" s="1">
        <f>D398+F398+H398</f>
        <v>245.62750667978557</v>
      </c>
      <c r="E399" s="1" t="s">
        <v>258</v>
      </c>
    </row>
    <row r="400" ht="14.25" customHeight="1">
      <c r="D400" s="1" t="s">
        <v>392</v>
      </c>
    </row>
    <row r="401" ht="15.75" customHeight="1">
      <c r="B401" s="1" t="s">
        <v>378</v>
      </c>
      <c r="C401" s="1" t="s">
        <v>31</v>
      </c>
      <c r="D401" s="1">
        <f>D398</f>
        <v>215.0730187500001</v>
      </c>
      <c r="E401" s="1" t="s">
        <v>114</v>
      </c>
      <c r="F401" s="1">
        <f>F398</f>
        <v>27.77680720889589</v>
      </c>
      <c r="G401" s="1" t="s">
        <v>114</v>
      </c>
      <c r="H401" s="1">
        <f>H398</f>
        <v>2.7776807208895895</v>
      </c>
    </row>
    <row r="402" ht="14.25" customHeight="1">
      <c r="C402" s="1" t="s">
        <v>31</v>
      </c>
      <c r="D402" s="1">
        <f>D401-F401-H401</f>
        <v>184.51853082021464</v>
      </c>
      <c r="E402" s="1" t="s">
        <v>258</v>
      </c>
    </row>
    <row r="403" ht="14.25" customHeight="1">
      <c r="D403" s="1" t="s">
        <v>393</v>
      </c>
    </row>
    <row r="404"/>
    <row r="405">
      <c r="B405" s="1" t="s">
        <v>380</v>
      </c>
      <c r="C405" s="1" t="s">
        <v>318</v>
      </c>
      <c r="D405" s="1">
        <f>D394</f>
        <v>3190.4210880000014</v>
      </c>
      <c r="E405" s="1" t="s">
        <v>85</v>
      </c>
      <c r="F405" s="1">
        <f>$J$367</f>
        <v>14.399999999999999</v>
      </c>
      <c r="G405" s="1" t="s">
        <v>374</v>
      </c>
      <c r="H405" s="1">
        <f>$J$113</f>
        <v>79.99720476162017</v>
      </c>
      <c r="I405" s="1" t="s">
        <v>85</v>
      </c>
      <c r="J405" s="1">
        <f>$J$369</f>
        <v>2.8800000000000003</v>
      </c>
      <c r="K405" s="1" t="s">
        <v>374</v>
      </c>
      <c r="L405" s="1">
        <f>$J$154</f>
        <v>79.99720476162017</v>
      </c>
      <c r="M405" s="1" t="s">
        <v>85</v>
      </c>
      <c r="N405" s="1">
        <f>$J$370</f>
        <v>28.799999999999997</v>
      </c>
      <c r="O405" s="1" t="s">
        <v>83</v>
      </c>
    </row>
    <row r="406">
      <c r="C406" s="1" t="s">
        <v>31</v>
      </c>
      <c r="D406" s="1">
        <f>D405/F405</f>
        <v>221.5570200000001</v>
      </c>
      <c r="E406" s="1" t="s">
        <v>375</v>
      </c>
      <c r="F406" s="1">
        <f>H405/J405</f>
        <v>27.77680720889589</v>
      </c>
      <c r="G406" s="1" t="s">
        <v>375</v>
      </c>
      <c r="H406" s="1">
        <f>L405/N405</f>
        <v>2.7776807208895895</v>
      </c>
    </row>
    <row r="407" ht="15.75" customHeight="1">
      <c r="B407" s="1" t="s">
        <v>376</v>
      </c>
      <c r="C407" s="1" t="s">
        <v>31</v>
      </c>
      <c r="D407" s="1">
        <f>D406</f>
        <v>221.5570200000001</v>
      </c>
      <c r="E407" s="1" t="s">
        <v>126</v>
      </c>
      <c r="F407" s="1">
        <f>F406</f>
        <v>27.77680720889589</v>
      </c>
      <c r="G407" s="1" t="s">
        <v>126</v>
      </c>
      <c r="H407" s="1">
        <f>H406</f>
        <v>2.7776807208895895</v>
      </c>
    </row>
    <row r="408" ht="14.25" customHeight="1">
      <c r="C408" s="1" t="s">
        <v>31</v>
      </c>
      <c r="D408" s="1">
        <f>D407+F407+H407</f>
        <v>252.11150792978557</v>
      </c>
      <c r="E408" s="1" t="s">
        <v>258</v>
      </c>
    </row>
    <row r="409" ht="14.25" customHeight="1">
      <c r="D409" s="1" t="s">
        <v>392</v>
      </c>
    </row>
    <row r="410" ht="15.75" customHeight="1">
      <c r="B410" s="1" t="s">
        <v>378</v>
      </c>
      <c r="C410" s="1" t="s">
        <v>31</v>
      </c>
      <c r="D410" s="1">
        <f>D407</f>
        <v>221.5570200000001</v>
      </c>
      <c r="E410" s="1" t="s">
        <v>114</v>
      </c>
      <c r="F410" s="1">
        <f>F407</f>
        <v>27.77680720889589</v>
      </c>
      <c r="G410" s="1" t="s">
        <v>114</v>
      </c>
      <c r="H410" s="1">
        <f>H407</f>
        <v>2.7776807208895895</v>
      </c>
    </row>
    <row r="411" ht="14.25" customHeight="1">
      <c r="C411" s="1" t="s">
        <v>31</v>
      </c>
      <c r="D411" s="1">
        <f>D410-F410-H410</f>
        <v>191.00253207021464</v>
      </c>
      <c r="E411" s="1" t="s">
        <v>258</v>
      </c>
    </row>
    <row r="412" ht="14.25" customHeight="1">
      <c r="D412" s="1" t="s">
        <v>393</v>
      </c>
    </row>
    <row r="413"/>
    <row r="414">
      <c r="B414" s="4" t="s">
        <f>CONCATENATE("CASE- 8 FOR WIND FORCE AT SERVICE CONDITION AT R. L.",E20+1," M")</f>
        <v>395</v>
      </c>
    </row>
    <row r="415" hidden="1"/>
    <row r="416">
      <c r="B416" s="1" t="s">
        <v>268</v>
      </c>
      <c r="C416" s="1" t="s">
        <v>31</v>
      </c>
      <c r="D416" s="1">
        <f>$D$259</f>
        <v>1463.6159999999998</v>
      </c>
      <c r="E416" s="1" t="s">
        <v>182</v>
      </c>
    </row>
    <row r="417">
      <c r="B417" s="1" t="s">
        <v>270</v>
      </c>
      <c r="C417" s="1" t="s">
        <v>31</v>
      </c>
      <c r="D417" s="1">
        <f>$D$360</f>
        <v>1726.8050880000017</v>
      </c>
      <c r="E417" s="1" t="s">
        <v>182</v>
      </c>
      <c r="F417" s="1" t="s">
        <v>359</v>
      </c>
    </row>
    <row r="418">
      <c r="B418" s="1" t="s">
        <v>270</v>
      </c>
      <c r="C418" s="1" t="s">
        <v>31</v>
      </c>
      <c r="D418" s="1">
        <f>$D$361</f>
        <v>1633.4354700000017</v>
      </c>
      <c r="E418" s="1" t="s">
        <v>182</v>
      </c>
      <c r="F418" s="1" t="s">
        <v>360</v>
      </c>
    </row>
    <row r="419">
      <c r="B419" s="1" t="s">
        <v>361</v>
      </c>
      <c r="C419" s="1" t="s">
        <v>31</v>
      </c>
      <c r="D419" s="1">
        <f>$D$262</f>
        <v>788.2663473053892</v>
      </c>
      <c r="E419" s="1" t="s">
        <v>182</v>
      </c>
    </row>
    <row r="420">
      <c r="B420" s="1" t="s">
        <v>362</v>
      </c>
      <c r="C420" s="1" t="s">
        <v>31</v>
      </c>
      <c r="D420" s="1">
        <f>D416+D417+D419</f>
        <v>3978.687435305391</v>
      </c>
      <c r="E420" s="1" t="s">
        <v>182</v>
      </c>
    </row>
    <row r="421">
      <c r="B421" s="1" t="s">
        <v>363</v>
      </c>
      <c r="C421" s="1" t="s">
        <v>31</v>
      </c>
      <c r="D421" s="1">
        <f>D416+D418+D419</f>
        <v>3885.3178173053902</v>
      </c>
      <c r="E421" s="1" t="s">
        <v>182</v>
      </c>
    </row>
    <row r="422">
      <c r="B422" s="1" t="s">
        <v>364</v>
      </c>
      <c r="C422" s="1" t="s">
        <v>31</v>
      </c>
      <c r="D422" s="1">
        <f>$J$113</f>
        <v>79.99720476162017</v>
      </c>
      <c r="E422" s="1" t="s">
        <v>126</v>
      </c>
      <c r="F422" s="1">
        <f>$H$66</f>
        <v>244.25331736526948</v>
      </c>
      <c r="I422" s="1" t="s">
        <v>31</v>
      </c>
      <c r="J422" s="1">
        <f>D422+F422</f>
        <v>324.2505221268897</v>
      </c>
      <c r="K422" s="1" t="s">
        <v>301</v>
      </c>
    </row>
    <row r="423">
      <c r="B423" s="1" t="s">
        <v>365</v>
      </c>
      <c r="C423" s="1" t="s">
        <v>31</v>
      </c>
      <c r="D423" s="1">
        <f>$J$154</f>
        <v>79.99720476162017</v>
      </c>
      <c r="E423" s="1" t="s">
        <v>126</v>
      </c>
      <c r="F423" s="1">
        <f>$L$192</f>
        <v>101.09433159466906</v>
      </c>
      <c r="G423" s="1" t="s">
        <v>126</v>
      </c>
      <c r="H423" s="1">
        <f>$H$71</f>
        <v>2247.881195209581</v>
      </c>
      <c r="I423" s="1" t="s">
        <v>31</v>
      </c>
      <c r="J423" s="1">
        <f>D423+F423+H423</f>
        <v>2428.97273156587</v>
      </c>
      <c r="K423" s="1" t="s">
        <v>301</v>
      </c>
    </row>
    <row r="424">
      <c r="B424" s="1" t="s">
        <v>373</v>
      </c>
      <c r="C424" s="1" t="s">
        <v>318</v>
      </c>
      <c r="D424" s="1">
        <f>D421</f>
        <v>3885.3178173053902</v>
      </c>
      <c r="E424" s="1" t="s">
        <v>85</v>
      </c>
      <c r="F424" s="1">
        <f>$J$367</f>
        <v>14.399999999999999</v>
      </c>
      <c r="G424" s="1" t="s">
        <v>374</v>
      </c>
      <c r="H424" s="1">
        <f>$J$422</f>
        <v>324.2505221268897</v>
      </c>
      <c r="I424" s="1" t="s">
        <v>85</v>
      </c>
      <c r="J424" s="1">
        <f>$J$369</f>
        <v>2.8800000000000003</v>
      </c>
      <c r="K424" s="1" t="s">
        <v>374</v>
      </c>
      <c r="L424" s="1">
        <f>$J$423</f>
        <v>2428.97273156587</v>
      </c>
      <c r="M424" s="1" t="s">
        <v>85</v>
      </c>
      <c r="N424" s="1">
        <f>$J$370</f>
        <v>28.799999999999997</v>
      </c>
      <c r="O424" s="1" t="s">
        <v>83</v>
      </c>
    </row>
    <row r="425">
      <c r="C425" s="1" t="s">
        <v>31</v>
      </c>
      <c r="D425" s="1">
        <f>D424/F424</f>
        <v>269.81373731287437</v>
      </c>
      <c r="E425" s="1" t="s">
        <v>375</v>
      </c>
      <c r="F425" s="1">
        <f>H424/J424</f>
        <v>112.58698684961446</v>
      </c>
      <c r="G425" s="1" t="s">
        <v>375</v>
      </c>
      <c r="H425" s="1">
        <f>L424/N424</f>
        <v>84.33933095714828</v>
      </c>
    </row>
    <row r="426" ht="15.75" customHeight="1">
      <c r="B426" s="1" t="s">
        <v>376</v>
      </c>
      <c r="C426" s="1" t="s">
        <v>31</v>
      </c>
      <c r="D426" s="1">
        <f>D425</f>
        <v>269.81373731287437</v>
      </c>
      <c r="E426" s="1" t="s">
        <v>126</v>
      </c>
      <c r="F426" s="1">
        <f>F425</f>
        <v>112.58698684961446</v>
      </c>
      <c r="G426" s="1" t="s">
        <v>126</v>
      </c>
      <c r="H426" s="1">
        <f>H425</f>
        <v>84.33933095714828</v>
      </c>
    </row>
    <row r="427" ht="14.25" customHeight="1">
      <c r="C427" s="1" t="s">
        <v>31</v>
      </c>
      <c r="D427" s="1">
        <f>D426+F426+H426</f>
        <v>466.7400551196371</v>
      </c>
      <c r="E427" s="1" t="s">
        <v>258</v>
      </c>
    </row>
    <row r="428" ht="14.25" customHeight="1">
      <c r="D428" s="1" t="s">
        <v>392</v>
      </c>
    </row>
    <row r="429" ht="15.75" customHeight="1">
      <c r="B429" s="1" t="s">
        <v>378</v>
      </c>
      <c r="C429" s="1" t="s">
        <v>31</v>
      </c>
      <c r="D429" s="1">
        <f>D426</f>
        <v>269.81373731287437</v>
      </c>
      <c r="E429" s="1" t="s">
        <v>114</v>
      </c>
      <c r="F429" s="1">
        <f>F426</f>
        <v>112.58698684961446</v>
      </c>
      <c r="G429" s="1" t="s">
        <v>114</v>
      </c>
      <c r="H429" s="1">
        <f>H426</f>
        <v>84.33933095714828</v>
      </c>
    </row>
    <row r="430" ht="14.25" customHeight="1">
      <c r="C430" s="1" t="s">
        <v>31</v>
      </c>
      <c r="D430" s="1">
        <f>D429-F429-H429</f>
        <v>72.88741950611164</v>
      </c>
      <c r="E430" s="1" t="s">
        <v>258</v>
      </c>
    </row>
    <row r="431" ht="14.25" customHeight="1">
      <c r="D431" s="1" t="s">
        <v>393</v>
      </c>
    </row>
    <row r="432"/>
    <row r="433">
      <c r="B433" s="1" t="s">
        <v>380</v>
      </c>
      <c r="C433" s="1" t="s">
        <v>318</v>
      </c>
      <c r="D433" s="1">
        <f>D420</f>
        <v>3978.687435305391</v>
      </c>
      <c r="E433" s="1" t="s">
        <v>85</v>
      </c>
      <c r="F433" s="1">
        <f>$J$367</f>
        <v>14.399999999999999</v>
      </c>
      <c r="G433" s="1" t="s">
        <v>374</v>
      </c>
      <c r="H433" s="1">
        <f>$J$422</f>
        <v>324.2505221268897</v>
      </c>
      <c r="I433" s="1" t="s">
        <v>85</v>
      </c>
      <c r="J433" s="1">
        <f>$J$369</f>
        <v>2.8800000000000003</v>
      </c>
      <c r="K433" s="1" t="s">
        <v>374</v>
      </c>
      <c r="L433" s="1">
        <f>$J$423</f>
        <v>2428.97273156587</v>
      </c>
      <c r="M433" s="1" t="s">
        <v>85</v>
      </c>
      <c r="N433" s="1">
        <f>$J$370</f>
        <v>28.799999999999997</v>
      </c>
      <c r="O433" s="1" t="s">
        <v>83</v>
      </c>
    </row>
    <row r="434">
      <c r="C434" s="1" t="s">
        <v>31</v>
      </c>
      <c r="D434" s="1">
        <f>D433/F433</f>
        <v>276.2977385628744</v>
      </c>
      <c r="E434" s="1" t="s">
        <v>375</v>
      </c>
      <c r="F434" s="1">
        <f>H433/J433</f>
        <v>112.58698684961446</v>
      </c>
      <c r="G434" s="1" t="s">
        <v>375</v>
      </c>
      <c r="H434" s="1">
        <f>L433/N433</f>
        <v>84.33933095714828</v>
      </c>
    </row>
    <row r="435" ht="15.75" customHeight="1">
      <c r="B435" s="1" t="s">
        <v>376</v>
      </c>
      <c r="C435" s="1" t="s">
        <v>31</v>
      </c>
      <c r="D435" s="1">
        <f>D434</f>
        <v>276.2977385628744</v>
      </c>
      <c r="E435" s="1" t="s">
        <v>126</v>
      </c>
      <c r="F435" s="1">
        <f>F434</f>
        <v>112.58698684961446</v>
      </c>
      <c r="G435" s="1" t="s">
        <v>126</v>
      </c>
      <c r="H435" s="1">
        <f>H434</f>
        <v>84.33933095714828</v>
      </c>
    </row>
    <row r="436" ht="14.25" customHeight="1">
      <c r="C436" s="1" t="s">
        <v>31</v>
      </c>
      <c r="D436" s="1">
        <f>D435+F435+H435</f>
        <v>473.2240563696371</v>
      </c>
      <c r="E436" s="1" t="s">
        <v>258</v>
      </c>
    </row>
    <row r="437" ht="14.25" customHeight="1">
      <c r="D437" s="1" t="s">
        <v>392</v>
      </c>
    </row>
    <row r="438" ht="15.75" customHeight="1">
      <c r="B438" s="1" t="s">
        <v>378</v>
      </c>
      <c r="C438" s="1" t="s">
        <v>31</v>
      </c>
      <c r="D438" s="1">
        <f>D435</f>
        <v>276.2977385628744</v>
      </c>
      <c r="E438" s="1" t="s">
        <v>114</v>
      </c>
      <c r="F438" s="1">
        <f>F435</f>
        <v>112.58698684961446</v>
      </c>
      <c r="G438" s="1" t="s">
        <v>114</v>
      </c>
      <c r="H438" s="1">
        <f>H435</f>
        <v>84.33933095714828</v>
      </c>
    </row>
    <row r="439" ht="14.25" customHeight="1">
      <c r="C439" s="1" t="s">
        <v>31</v>
      </c>
      <c r="D439" s="1">
        <f>D438-F438-H438</f>
        <v>79.37142075611165</v>
      </c>
      <c r="E439" s="1" t="s">
        <v>258</v>
      </c>
    </row>
    <row r="440" ht="14.25" customHeight="1">
      <c r="D440" s="1" t="s">
        <v>393</v>
      </c>
    </row>
    <row r="441"/>
    <row r="442">
      <c r="B442" s="4" t="s">
        <f>CONCATENATE("CASE- 9 FOR WIND FORCE AT IDLE CONDITION AT R. L.",E20+1," M")</f>
        <v>396</v>
      </c>
    </row>
    <row r="443" hidden="1"/>
    <row r="444">
      <c r="B444" s="1" t="s">
        <v>268</v>
      </c>
      <c r="C444" s="1" t="s">
        <v>31</v>
      </c>
      <c r="D444" s="1">
        <f>$D$259</f>
        <v>1463.6159999999998</v>
      </c>
      <c r="E444" s="1" t="s">
        <v>182</v>
      </c>
    </row>
    <row r="445">
      <c r="B445" s="1" t="s">
        <v>270</v>
      </c>
      <c r="C445" s="1" t="s">
        <v>31</v>
      </c>
      <c r="D445" s="1">
        <f>$D$360</f>
        <v>1726.8050880000017</v>
      </c>
      <c r="E445" s="1" t="s">
        <v>182</v>
      </c>
      <c r="F445" s="1" t="s">
        <v>359</v>
      </c>
    </row>
    <row r="446">
      <c r="B446" s="1" t="s">
        <v>270</v>
      </c>
      <c r="C446" s="1" t="s">
        <v>31</v>
      </c>
      <c r="D446" s="1">
        <f>$D$361</f>
        <v>1633.4354700000017</v>
      </c>
      <c r="E446" s="1" t="s">
        <v>182</v>
      </c>
      <c r="F446" s="1" t="s">
        <v>360</v>
      </c>
    </row>
    <row r="447">
      <c r="B447" s="1" t="s">
        <v>361</v>
      </c>
      <c r="C447" s="1" t="s">
        <v>31</v>
      </c>
      <c r="D447" s="1">
        <f>$D$262</f>
        <v>788.2663473053892</v>
      </c>
      <c r="E447" s="1" t="s">
        <v>182</v>
      </c>
    </row>
    <row r="448">
      <c r="B448" s="1" t="s">
        <v>362</v>
      </c>
      <c r="C448" s="1" t="s">
        <v>31</v>
      </c>
      <c r="D448" s="1">
        <f>D444+D445+D447</f>
        <v>3978.687435305391</v>
      </c>
      <c r="E448" s="1" t="s">
        <v>182</v>
      </c>
    </row>
    <row r="449">
      <c r="B449" s="1" t="s">
        <v>363</v>
      </c>
      <c r="C449" s="1" t="s">
        <v>31</v>
      </c>
      <c r="D449" s="1">
        <f>D444+D446+D447</f>
        <v>3885.3178173053902</v>
      </c>
      <c r="E449" s="1" t="s">
        <v>182</v>
      </c>
    </row>
    <row r="450">
      <c r="B450" s="1" t="s">
        <v>364</v>
      </c>
      <c r="C450" s="1" t="s">
        <v>31</v>
      </c>
      <c r="D450" s="1">
        <f>$J$113</f>
        <v>79.99720476162017</v>
      </c>
      <c r="E450" s="1" t="s">
        <v>301</v>
      </c>
    </row>
    <row r="451">
      <c r="B451" s="1" t="s">
        <v>365</v>
      </c>
      <c r="C451" s="1" t="s">
        <v>31</v>
      </c>
      <c r="D451" s="1">
        <f>$J$154</f>
        <v>79.99720476162017</v>
      </c>
      <c r="E451" s="1" t="s">
        <v>126</v>
      </c>
      <c r="F451" s="1">
        <f>$L$192</f>
        <v>101.09433159466906</v>
      </c>
      <c r="G451" s="1" t="s">
        <v>31</v>
      </c>
      <c r="H451" s="1">
        <f>D451+F451</f>
        <v>181.09153635628923</v>
      </c>
      <c r="I451" s="1" t="s">
        <v>301</v>
      </c>
    </row>
    <row r="452">
      <c r="B452" s="1" t="s">
        <v>373</v>
      </c>
      <c r="C452" s="1" t="s">
        <v>318</v>
      </c>
      <c r="D452" s="1">
        <f>D449</f>
        <v>3885.3178173053902</v>
      </c>
      <c r="E452" s="1" t="s">
        <v>85</v>
      </c>
      <c r="F452" s="1">
        <f>$J$367</f>
        <v>14.399999999999999</v>
      </c>
      <c r="G452" s="1" t="s">
        <v>374</v>
      </c>
      <c r="H452" s="1">
        <f>$J$113</f>
        <v>79.99720476162017</v>
      </c>
      <c r="I452" s="1" t="s">
        <v>85</v>
      </c>
      <c r="J452" s="1">
        <f>$J$369</f>
        <v>2.8800000000000003</v>
      </c>
      <c r="K452" s="1" t="s">
        <v>374</v>
      </c>
      <c r="L452" s="1">
        <f>H451</f>
        <v>181.09153635628923</v>
      </c>
      <c r="M452" s="1" t="s">
        <v>85</v>
      </c>
      <c r="N452" s="1">
        <f>$J$370</f>
        <v>28.799999999999997</v>
      </c>
      <c r="O452" s="1" t="s">
        <v>83</v>
      </c>
    </row>
    <row r="453">
      <c r="C453" s="1" t="s">
        <v>31</v>
      </c>
      <c r="D453" s="1">
        <f>D452/F452</f>
        <v>269.81373731287437</v>
      </c>
      <c r="E453" s="1" t="s">
        <v>375</v>
      </c>
      <c r="F453" s="1">
        <f>H452/J452</f>
        <v>27.77680720889589</v>
      </c>
      <c r="G453" s="1" t="s">
        <v>375</v>
      </c>
      <c r="H453" s="1">
        <f>L452/N452</f>
        <v>6.28790056792671</v>
      </c>
    </row>
    <row r="454" ht="15.75" customHeight="1">
      <c r="B454" s="1" t="s">
        <v>376</v>
      </c>
      <c r="C454" s="1" t="s">
        <v>31</v>
      </c>
      <c r="D454" s="1">
        <f>D453</f>
        <v>269.81373731287437</v>
      </c>
      <c r="E454" s="1" t="s">
        <v>126</v>
      </c>
      <c r="F454" s="1">
        <f>F453</f>
        <v>27.77680720889589</v>
      </c>
      <c r="G454" s="1" t="s">
        <v>126</v>
      </c>
      <c r="H454" s="1">
        <f>H453</f>
        <v>6.28790056792671</v>
      </c>
    </row>
    <row r="455" ht="14.25" customHeight="1">
      <c r="C455" s="1" t="s">
        <v>31</v>
      </c>
      <c r="D455" s="1">
        <f>D454+F454+H454</f>
        <v>303.878445089697</v>
      </c>
      <c r="E455" s="1" t="s">
        <v>258</v>
      </c>
    </row>
    <row r="456" ht="14.25" customHeight="1">
      <c r="D456" s="1" t="s">
        <v>392</v>
      </c>
    </row>
    <row r="457" ht="15.75" customHeight="1">
      <c r="B457" s="1" t="s">
        <v>378</v>
      </c>
      <c r="C457" s="1" t="s">
        <v>31</v>
      </c>
      <c r="D457" s="1">
        <f>D454</f>
        <v>269.81373731287437</v>
      </c>
      <c r="E457" s="1" t="s">
        <v>114</v>
      </c>
      <c r="F457" s="1">
        <f>F454</f>
        <v>27.77680720889589</v>
      </c>
      <c r="G457" s="1" t="s">
        <v>114</v>
      </c>
      <c r="H457" s="1">
        <f>H454</f>
        <v>6.28790056792671</v>
      </c>
    </row>
    <row r="458" ht="14.25" customHeight="1">
      <c r="C458" s="1" t="s">
        <v>31</v>
      </c>
      <c r="D458" s="1">
        <f>D457-F457-H457</f>
        <v>235.74902953605178</v>
      </c>
      <c r="E458" s="1" t="s">
        <v>258</v>
      </c>
    </row>
    <row r="459" ht="14.25" customHeight="1">
      <c r="D459" s="1" t="s">
        <v>393</v>
      </c>
    </row>
    <row r="460"/>
    <row r="461">
      <c r="B461" s="1" t="s">
        <v>380</v>
      </c>
      <c r="C461" s="1" t="s">
        <v>318</v>
      </c>
      <c r="D461" s="1">
        <f>D448</f>
        <v>3978.687435305391</v>
      </c>
      <c r="E461" s="1" t="s">
        <v>85</v>
      </c>
      <c r="F461" s="1">
        <f>$J$367</f>
        <v>14.399999999999999</v>
      </c>
      <c r="G461" s="1" t="s">
        <v>374</v>
      </c>
      <c r="H461" s="1">
        <f>$J$113</f>
        <v>79.99720476162017</v>
      </c>
      <c r="I461" s="1" t="s">
        <v>85</v>
      </c>
      <c r="J461" s="1">
        <f>$J$369</f>
        <v>2.8800000000000003</v>
      </c>
      <c r="K461" s="1" t="s">
        <v>374</v>
      </c>
      <c r="L461" s="1">
        <f>H451</f>
        <v>181.09153635628923</v>
      </c>
      <c r="M461" s="1" t="s">
        <v>85</v>
      </c>
      <c r="N461" s="1">
        <f>$J$370</f>
        <v>28.799999999999997</v>
      </c>
      <c r="O461" s="1" t="s">
        <v>83</v>
      </c>
    </row>
    <row r="462">
      <c r="C462" s="1" t="s">
        <v>31</v>
      </c>
      <c r="D462" s="1">
        <f>D461/F461</f>
        <v>276.2977385628744</v>
      </c>
      <c r="E462" s="1" t="s">
        <v>375</v>
      </c>
      <c r="F462" s="1">
        <f>H461/J461</f>
        <v>27.77680720889589</v>
      </c>
      <c r="G462" s="1" t="s">
        <v>375</v>
      </c>
      <c r="H462" s="1">
        <f>L461/N461</f>
        <v>6.28790056792671</v>
      </c>
    </row>
    <row r="463" ht="15.75" customHeight="1">
      <c r="B463" s="1" t="s">
        <v>376</v>
      </c>
      <c r="C463" s="1" t="s">
        <v>31</v>
      </c>
      <c r="D463" s="1">
        <f>D462</f>
        <v>276.2977385628744</v>
      </c>
      <c r="E463" s="1" t="s">
        <v>126</v>
      </c>
      <c r="F463" s="1">
        <f>F462</f>
        <v>27.77680720889589</v>
      </c>
      <c r="G463" s="1" t="s">
        <v>126</v>
      </c>
      <c r="H463" s="1">
        <f>H462</f>
        <v>6.28790056792671</v>
      </c>
    </row>
    <row r="464" ht="14.25" customHeight="1">
      <c r="C464" s="1" t="s">
        <v>31</v>
      </c>
      <c r="D464" s="1">
        <f>D463+F463+H463</f>
        <v>310.362446339697</v>
      </c>
      <c r="E464" s="1" t="s">
        <v>258</v>
      </c>
    </row>
    <row r="465" ht="14.25" customHeight="1">
      <c r="D465" s="1" t="s">
        <v>392</v>
      </c>
    </row>
    <row r="466" ht="15.75" customHeight="1">
      <c r="B466" s="1" t="s">
        <v>378</v>
      </c>
      <c r="C466" s="1" t="s">
        <v>31</v>
      </c>
      <c r="D466" s="1">
        <f>D463</f>
        <v>276.2977385628744</v>
      </c>
      <c r="E466" s="1" t="s">
        <v>114</v>
      </c>
      <c r="F466" s="1">
        <f>F463</f>
        <v>27.77680720889589</v>
      </c>
      <c r="G466" s="1" t="s">
        <v>114</v>
      </c>
      <c r="H466" s="1">
        <f>H463</f>
        <v>6.28790056792671</v>
      </c>
    </row>
    <row r="467" ht="14.25" customHeight="1">
      <c r="C467" s="1" t="s">
        <v>31</v>
      </c>
      <c r="D467" s="1">
        <f>D466-F466-H466</f>
        <v>242.23303078605178</v>
      </c>
      <c r="E467" s="1" t="s">
        <v>258</v>
      </c>
    </row>
    <row r="468" ht="14.25" customHeight="1">
      <c r="D468" s="1" t="s">
        <v>393</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397</v>
      </c>
    </row>
    <row r="2">
      <c r="A2" t="s">
        <f>'afflux calculation'!A2:H2</f>
        <v>26</v>
      </c>
    </row>
    <row r="3">
      <c r="A3" s="4" t="s">
        <f>'STABILITY CHECK FOR PIER'!B198</f>
        <v>357</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381</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384</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385</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390</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398</v>
      </c>
      <c r="D9" s="1">
        <f>MAX(I3:N7)</f>
        <v>138.66109635051396</v>
      </c>
      <c r="F9" s="1">
        <f>MIN(I3:N7)</f>
        <v>59.565540394928775</v>
      </c>
      <c r="G9" t="s">
        <v>399</v>
      </c>
    </row>
    <row r="10"/>
    <row r="11">
      <c r="A11" s="4" t="s">
        <f>'STABILITY CHECK FOR PIER'!B356</f>
        <v>391</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394</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395</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396</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398</v>
      </c>
      <c r="D16" s="1">
        <f>MAX(I11:N14)</f>
        <v>473.2240563696371</v>
      </c>
      <c r="F16" s="1">
        <f>MIN(I11:N14)</f>
        <v>72.88741950611164</v>
      </c>
      <c r="G16" t="s">
        <v>399</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400</v>
      </c>
    </row>
    <row r="2" ht="22.5" customHeight="1">
      <c r="A2" s="4" t="s">
        <f>'STABILITY CHECK FOR PIER'!A2:Q2</f>
        <v>26</v>
      </c>
    </row>
    <row r="3">
      <c r="B3" t="s">
        <v>401</v>
      </c>
      <c r="C3" s="1">
        <f>'STABILITY CHECK FOR PIER'!E20+'STABILITY CHECK FOR PIER'!J52</f>
        <v>92.96999999999998</v>
      </c>
      <c r="D3" t="s">
        <v>402</v>
      </c>
      <c r="E3" s="1">
        <f>C3+0.6</f>
        <v>93.56999999999998</v>
      </c>
      <c r="F3" t="s">
        <v>70</v>
      </c>
    </row>
    <row r="4">
      <c r="A4" t="s">
        <v>403</v>
      </c>
    </row>
    <row r="5">
      <c r="B5" t="s">
        <v>358</v>
      </c>
    </row>
    <row r="6">
      <c r="B6" s="1" t="s">
        <f>'STABILITY CHECK FOR PIER'!B201</f>
        <v>268</v>
      </c>
      <c r="C6" s="1" t="s">
        <f>'STABILITY CHECK FOR PIER'!C201</f>
        <v>31</v>
      </c>
      <c r="D6" s="1">
        <f>'STABILITY CHECK FOR PIER'!D359</f>
        <v>1463.6159999999998</v>
      </c>
      <c r="E6" s="1" t="s">
        <f>'STABILITY CHECK FOR PIER'!E201</f>
        <v>182</v>
      </c>
    </row>
    <row r="7">
      <c r="B7" s="1" t="s">
        <f>'STABILITY CHECK FOR PIER'!B202</f>
        <v>270</v>
      </c>
      <c r="C7" s="1" t="s">
        <f>'STABILITY CHECK FOR PIER'!C202</f>
        <v>31</v>
      </c>
      <c r="D7" s="1">
        <f>'STABILITY CHECK FOR PIER'!D360</f>
        <v>1726.8050880000017</v>
      </c>
      <c r="E7" s="1" t="s">
        <f>'STABILITY CHECK FOR PIER'!E202</f>
        <v>182</v>
      </c>
      <c r="F7" s="1" t="s">
        <f>'STABILITY CHECK FOR PIER'!F202</f>
        <v>359</v>
      </c>
    </row>
    <row r="8">
      <c r="B8" s="1" t="s">
        <f>'STABILITY CHECK FOR PIER'!B203</f>
        <v>270</v>
      </c>
      <c r="C8" s="1" t="s">
        <f>'STABILITY CHECK FOR PIER'!C203</f>
        <v>31</v>
      </c>
      <c r="D8" s="1">
        <f>'STABILITY CHECK FOR PIER'!D361</f>
        <v>1633.4354700000017</v>
      </c>
      <c r="E8" s="1" t="s">
        <f>'STABILITY CHECK FOR PIER'!E203</f>
        <v>182</v>
      </c>
      <c r="F8" s="1" t="s">
        <f>'STABILITY CHECK FOR PIER'!F203</f>
        <v>360</v>
      </c>
    </row>
    <row r="9">
      <c r="B9" s="1" t="s">
        <f>'STABILITY CHECK FOR PIER'!B204</f>
        <v>361</v>
      </c>
      <c r="C9" s="1" t="s">
        <f>'STABILITY CHECK FOR PIER'!C204</f>
        <v>31</v>
      </c>
      <c r="D9" s="1">
        <f>'STABILITY CHECK FOR PIER'!D362</f>
        <v>788.2663473053892</v>
      </c>
      <c r="E9" s="1" t="s">
        <f>'STABILITY CHECK FOR PIER'!E204</f>
        <v>182</v>
      </c>
    </row>
    <row r="10">
      <c r="B10" s="1" t="s">
        <f>'STABILITY CHECK FOR PIER'!B205</f>
        <v>362</v>
      </c>
      <c r="C10" s="1" t="s">
        <f>'STABILITY CHECK FOR PIER'!C205</f>
        <v>31</v>
      </c>
      <c r="D10" s="1">
        <f>'STABILITY CHECK FOR PIER'!D363</f>
        <v>3978.687435305391</v>
      </c>
      <c r="E10" s="1" t="s">
        <f>'STABILITY CHECK FOR PIER'!E205</f>
        <v>182</v>
      </c>
    </row>
    <row r="11">
      <c r="B11" s="1" t="s">
        <f>'STABILITY CHECK FOR PIER'!B206</f>
        <v>363</v>
      </c>
      <c r="C11" s="1" t="s">
        <f>'STABILITY CHECK FOR PIER'!C206</f>
        <v>31</v>
      </c>
      <c r="D11" s="1">
        <f>'STABILITY CHECK FOR PIER'!D364</f>
        <v>3885.3178173053902</v>
      </c>
      <c r="E11" s="1" t="s">
        <f>'STABILITY CHECK FOR PIER'!E206</f>
        <v>182</v>
      </c>
    </row>
    <row r="12">
      <c r="B12" s="1" t="s">
        <f>'STABILITY CHECK FOR PIER'!B422</f>
        <v>364</v>
      </c>
    </row>
    <row r="13">
      <c r="B13" s="1" t="s">
        <v>324</v>
      </c>
      <c r="C13" s="1">
        <f>C15</f>
        <v>92.96999999999998</v>
      </c>
      <c r="D13" s="1" t="s">
        <f>D15</f>
        <v>325</v>
      </c>
      <c r="E13" s="1">
        <f>'STABILITY CHECK FOR PIER'!$J$422</f>
        <v>324.2505221268897</v>
      </c>
      <c r="F13" s="1" t="s">
        <f>'STABILITY CHECK FOR PIER'!K115</f>
        <v>301</v>
      </c>
    </row>
    <row r="14">
      <c r="B14" s="1" t="s">
        <f>'STABILITY CHECK FOR PIER'!B423</f>
        <v>365</v>
      </c>
    </row>
    <row r="15">
      <c r="B15" s="1" t="s">
        <v>324</v>
      </c>
      <c r="C15" s="1">
        <f>'STABILITY CHECK FOR PIER'!D155</f>
        <v>92.96999999999998</v>
      </c>
      <c r="D15" s="1" t="s">
        <f>'STABILITY CHECK FOR PIER'!E155</f>
        <v>325</v>
      </c>
      <c r="E15" s="1">
        <f>'STABILITY CHECK FOR PIER'!$J$423</f>
        <v>2428.97273156587</v>
      </c>
      <c r="F15" s="1" t="s">
        <f>'STABILITY CHECK FOR PIER'!K156</f>
        <v>301</v>
      </c>
    </row>
    <row r="16">
      <c r="B16" t="s">
        <f>[1]TROUGH!A21</f>
        <v>404</v>
      </c>
      <c r="D16" t="s">
        <v>405</v>
      </c>
    </row>
    <row r="17">
      <c r="B17" t="s">
        <f>[1]TROUGH!A22</f>
        <v>406</v>
      </c>
      <c r="F17">
        <f>[1]TROUGH!F22</f>
        <v>415</v>
      </c>
      <c r="G17" t="s">
        <f>[1]TROUGH!G22</f>
        <v>210</v>
      </c>
    </row>
    <row r="18">
      <c r="B18" t="s">
        <f>[1]TROUGH!A23</f>
        <v>407</v>
      </c>
    </row>
    <row r="19">
      <c r="B19" t="s">
        <f>[1]TROUGH!B24</f>
        <v>408</v>
      </c>
      <c r="D19">
        <v>190</v>
      </c>
    </row>
    <row r="20">
      <c r="B20" t="s">
        <f>[1]TROUGH!B31</f>
        <v>409</v>
      </c>
    </row>
    <row r="21" ht="25.5" customHeight="1">
      <c r="B21" t="s">
        <v>410</v>
      </c>
      <c r="D21" t="s">
        <v>411</v>
      </c>
      <c r="E21" s="1" t="s">
        <v>31</v>
      </c>
      <c r="F21">
        <v>30</v>
      </c>
      <c r="G21" t="s">
        <v>210</v>
      </c>
    </row>
    <row r="22" ht="25.5" customHeight="1">
      <c r="B22" t="s">
        <f>[1]TROUGH!B32</f>
        <v>412</v>
      </c>
      <c r="D22" t="s">
        <f>[1]TROUGH!C32</f>
        <v>413</v>
      </c>
      <c r="E22" s="1" t="s">
        <f>[1]TROUGH!D32</f>
        <v>31</v>
      </c>
      <c r="F22">
        <v>8</v>
      </c>
      <c r="G22" t="s">
        <f>[1]TROUGH!F32</f>
        <v>210</v>
      </c>
    </row>
    <row r="23" ht="25.5" customHeight="1">
      <c r="B23" t="s">
        <f>[1]TROUGH!B33</f>
        <v>414</v>
      </c>
      <c r="D23" t="s">
        <f>[1]TROUGH!C33</f>
        <v>415</v>
      </c>
      <c r="E23" s="1" t="s">
        <f>[1]TROUGH!D33</f>
        <v>31</v>
      </c>
      <c r="F23">
        <f>[1]TROUGH!E33</f>
        <v>8</v>
      </c>
      <c r="G23" t="s">
        <f>[1]TROUGH!F33</f>
        <v>210</v>
      </c>
    </row>
    <row r="24">
      <c r="D24" t="s">
        <f>[1]TROUGH!C34</f>
        <v>416</v>
      </c>
      <c r="E24" s="1" t="s">
        <f>[1]TROUGH!D34</f>
        <v>31</v>
      </c>
      <c r="F24">
        <f>[1]TROUGH!E34</f>
        <v>3.6</v>
      </c>
      <c r="G24" t="s">
        <f>[1]TROUGH!F34</f>
        <v>210</v>
      </c>
    </row>
    <row r="25" ht="15.75" customHeight="1">
      <c r="B25" t="s">
        <v>417</v>
      </c>
      <c r="C25" t="s">
        <v>31</v>
      </c>
      <c r="D25">
        <v>1.5</v>
      </c>
      <c r="E25" s="1" t="s">
        <v>418</v>
      </c>
      <c r="F25" s="1">
        <f>D10</f>
        <v>3978.687435305391</v>
      </c>
      <c r="G25" t="s">
        <v>31</v>
      </c>
      <c r="H25">
        <f>D25*F25</f>
        <v>5968.031152958087</v>
      </c>
      <c r="I25" t="s">
        <v>182</v>
      </c>
    </row>
    <row r="26" ht="15.75" customHeight="1">
      <c r="B26" t="s">
        <v>419</v>
      </c>
      <c r="C26" t="s">
        <v>31</v>
      </c>
      <c r="D26">
        <v>1.5</v>
      </c>
      <c r="E26" s="1" t="s">
        <v>418</v>
      </c>
      <c r="F26" s="1">
        <f>E13</f>
        <v>324.2505221268897</v>
      </c>
      <c r="G26" t="s">
        <v>31</v>
      </c>
      <c r="H26">
        <f>D26*F26</f>
        <v>486.3757831903345</v>
      </c>
      <c r="I26" t="s">
        <v>301</v>
      </c>
    </row>
    <row r="27" ht="15.75" customHeight="1">
      <c r="B27" t="s">
        <v>420</v>
      </c>
      <c r="C27" t="s">
        <v>31</v>
      </c>
      <c r="D27">
        <v>1.5</v>
      </c>
      <c r="E27" s="1" t="s">
        <v>418</v>
      </c>
      <c r="F27" s="1">
        <f>E15</f>
        <v>2428.97273156587</v>
      </c>
      <c r="G27" t="s">
        <v>31</v>
      </c>
      <c r="H27">
        <f>D27*F27</f>
        <v>3643.4590973488052</v>
      </c>
      <c r="I27" t="s">
        <v>301</v>
      </c>
    </row>
    <row r="28">
      <c r="B28" t="s">
        <v>421</v>
      </c>
      <c r="F28">
        <v>33.33</v>
      </c>
      <c r="G28" t="s">
        <v>249</v>
      </c>
    </row>
    <row r="29">
      <c r="B29" t="s">
        <v>422</v>
      </c>
    </row>
    <row r="30">
      <c r="C30" s="4">
        <f>'STEEL IN PIER'!C30+(2*'STABILITY CHECK FOR PIER'!M63)</f>
        <v>12001.2</v>
      </c>
      <c r="D30" t="s">
        <v>423</v>
      </c>
      <c r="E30" s="4">
        <f>'STEEL IN PIER'!E30++(2*'STABILITY CHECK FOR PIER'!M63)</f>
        <v>1201.2</v>
      </c>
      <c r="F30" t="s">
        <v>208</v>
      </c>
    </row>
    <row r="31">
      <c r="C31" t="s">
        <v>424</v>
      </c>
      <c r="D31">
        <v>75</v>
      </c>
    </row>
    <row r="32" ht="14.25" customHeight="1">
      <c r="B32" t="s">
        <v>425</v>
      </c>
      <c r="C32" t="s">
        <v>31</v>
      </c>
      <c r="D32">
        <f>D31+C51/2</f>
        <v>87.5</v>
      </c>
      <c r="E32" t="s">
        <v>85</v>
      </c>
      <c r="F32">
        <f>E30</f>
        <v>1201.2</v>
      </c>
      <c r="G32" t="s">
        <v>31</v>
      </c>
      <c r="H32" s="8">
        <f>D32/F32</f>
        <v>0.07284382284382285</v>
      </c>
    </row>
    <row r="33" ht="15.75" customHeight="1">
      <c r="B33" t="s">
        <v>426</v>
      </c>
      <c r="C33" t="s">
        <v>31</v>
      </c>
      <c r="D33" s="1">
        <f>H25</f>
        <v>5968.031152958087</v>
      </c>
      <c r="E33" t="s">
        <v>69</v>
      </c>
      <c r="F33">
        <v>1000</v>
      </c>
      <c r="G33" t="s">
        <v>427</v>
      </c>
      <c r="H33">
        <f>$F$21</f>
        <v>30</v>
      </c>
      <c r="I33" t="s">
        <v>69</v>
      </c>
      <c r="J33">
        <f>$C$30</f>
        <v>12001.2</v>
      </c>
      <c r="K33" t="s">
        <v>177</v>
      </c>
      <c r="L33">
        <f>$E$30</f>
        <v>1201.2</v>
      </c>
      <c r="M33" t="s">
        <v>83</v>
      </c>
    </row>
    <row r="34">
      <c r="C34" t="s">
        <v>31</v>
      </c>
      <c r="D34" s="8">
        <f>D33*F33/(H33*J33*L33)</f>
        <v>0.013799705871714247</v>
      </c>
    </row>
    <row r="35">
      <c r="B35" t="s">
        <v>428</v>
      </c>
    </row>
    <row r="36" ht="15.75" customHeight="1">
      <c r="B36" t="s">
        <v>429</v>
      </c>
      <c r="C36" t="s">
        <v>31</v>
      </c>
      <c r="D36" s="1">
        <f>H26</f>
        <v>486.3757831903345</v>
      </c>
      <c r="E36" t="s">
        <f>E33</f>
        <v>69</v>
      </c>
      <c r="F36">
        <f>$F$33*1000</f>
        <v>1000000</v>
      </c>
      <c r="G36" t="s">
        <v>427</v>
      </c>
      <c r="H36">
        <f>$F$21</f>
        <v>30</v>
      </c>
      <c r="I36" t="s">
        <v>69</v>
      </c>
      <c r="J36">
        <f>$C$30</f>
        <v>12001.2</v>
      </c>
      <c r="K36" t="s">
        <v>177</v>
      </c>
      <c r="L36">
        <f>$E$30</f>
        <v>1201.2</v>
      </c>
      <c r="M36" t="s">
        <v>430</v>
      </c>
    </row>
    <row r="37">
      <c r="C37" t="s">
        <v>31</v>
      </c>
      <c r="D37" s="8">
        <f>D36*F36/(H36*J36*L36^2)</f>
        <v>0.0009362576257965044</v>
      </c>
    </row>
    <row r="38" ht="31.5" customHeight="1">
      <c r="B38" t="s">
        <v>431</v>
      </c>
    </row>
    <row r="39" ht="12.75" customHeight="1">
      <c r="B39" t="s">
        <v>432</v>
      </c>
    </row>
    <row r="40">
      <c r="B40" t="s">
        <v>433</v>
      </c>
    </row>
    <row r="42">
      <c r="B42" t="s">
        <v>434</v>
      </c>
      <c r="D42" s="1">
        <f>$D$11</f>
        <v>3885.3178173053902</v>
      </c>
      <c r="E42" s="1" t="s">
        <f>E33</f>
        <v>69</v>
      </c>
      <c r="F42" s="4">
        <f>F33</f>
        <v>1000</v>
      </c>
      <c r="G42" t="s">
        <v>85</v>
      </c>
      <c r="H42">
        <f>$F$22</f>
        <v>8</v>
      </c>
    </row>
    <row r="43" ht="14.25" customHeight="1">
      <c r="C43" t="s">
        <v>31</v>
      </c>
      <c r="D43" s="4">
        <f>D42*F42/H42</f>
        <v>485664.7271631738</v>
      </c>
      <c r="E43" t="s">
        <v>435</v>
      </c>
    </row>
    <row r="44">
      <c r="B44" t="s">
        <v>436</v>
      </c>
      <c r="C44">
        <f>0.8</f>
        <v>0.8</v>
      </c>
      <c r="D44" t="s">
        <v>69</v>
      </c>
      <c r="E44" s="4">
        <f>D43</f>
        <v>485664.7271631738</v>
      </c>
      <c r="F44" t="s">
        <v>85</v>
      </c>
      <c r="G44">
        <v>100</v>
      </c>
    </row>
    <row r="45" ht="14.25" customHeight="1">
      <c r="C45" t="s">
        <v>31</v>
      </c>
      <c r="D45" s="4">
        <f>C44*E44/100</f>
        <v>3885.3178173053907</v>
      </c>
      <c r="E45" t="s">
        <v>435</v>
      </c>
    </row>
    <row r="47">
      <c r="B47" t="s">
        <v>437</v>
      </c>
    </row>
    <row r="48">
      <c r="B48" t="s">
        <v>438</v>
      </c>
      <c r="C48">
        <v>0.3</v>
      </c>
      <c r="D48" t="s">
        <v>69</v>
      </c>
      <c r="E48">
        <f>$C$30</f>
        <v>12001.2</v>
      </c>
      <c r="F48" t="s">
        <v>177</v>
      </c>
      <c r="G48">
        <f>$E$30</f>
        <v>1201.2</v>
      </c>
      <c r="H48" t="s">
        <v>85</v>
      </c>
      <c r="I48">
        <v>100</v>
      </c>
    </row>
    <row r="49" ht="14.25" customHeight="1">
      <c r="C49" t="s">
        <v>31</v>
      </c>
      <c r="D49" s="4">
        <f>C48*E48*G48/100</f>
        <v>43247.52432</v>
      </c>
      <c r="E49" t="s">
        <v>435</v>
      </c>
    </row>
    <row r="50" ht="14.25" customHeight="1">
      <c r="B50" t="s">
        <v>439</v>
      </c>
      <c r="C50" t="s">
        <v>31</v>
      </c>
      <c r="D50" s="4">
        <f>D49</f>
        <v>43247.52432</v>
      </c>
      <c r="E50" t="s">
        <v>435</v>
      </c>
    </row>
    <row r="51">
      <c r="B51" t="s">
        <v>440</v>
      </c>
      <c r="C51">
        <v>25</v>
      </c>
      <c r="D51" t="s">
        <v>441</v>
      </c>
      <c r="E51" t="s">
        <v>31</v>
      </c>
      <c r="F51" s="4">
        <f>D50/(0.785*C51^2)</f>
        <v>88.14782027006369</v>
      </c>
      <c r="G51" t="s">
        <v>216</v>
      </c>
    </row>
    <row r="52">
      <c r="B52" t="s">
        <v>442</v>
      </c>
      <c r="C52" t="s">
        <v>31</v>
      </c>
      <c r="D52" s="4">
        <f>ROUNDDOWN((2*(E48+G48)/F51),-1)</f>
        <v>290</v>
      </c>
      <c r="E52" t="s">
        <v>443</v>
      </c>
    </row>
    <row r="53">
      <c r="B53" t="s">
        <v>444</v>
      </c>
    </row>
    <row r="55" ht="15.75" customHeight="1">
      <c r="B55" t="s">
        <v>429</v>
      </c>
      <c r="C55" t="s">
        <v>31</v>
      </c>
      <c r="D55" s="1">
        <f>H27</f>
        <v>3643.4590973488052</v>
      </c>
      <c r="E55" t="s">
        <f>E36</f>
        <v>69</v>
      </c>
      <c r="F55">
        <f>$F$33*1000</f>
        <v>1000000</v>
      </c>
      <c r="G55" t="s">
        <f>G36</f>
        <v>427</v>
      </c>
      <c r="H55">
        <f>$F$21</f>
        <v>30</v>
      </c>
      <c r="I55" t="s">
        <f>I36</f>
        <v>69</v>
      </c>
    </row>
    <row r="56" ht="14.25" customHeight="1">
      <c r="E56">
        <f>$C$30</f>
        <v>12001.2</v>
      </c>
      <c r="F56" t="s">
        <v>177</v>
      </c>
      <c r="G56">
        <f>$E$30</f>
        <v>1201.2</v>
      </c>
      <c r="H56" t="s">
        <v>430</v>
      </c>
    </row>
    <row r="57">
      <c r="C57" t="s">
        <v>31</v>
      </c>
      <c r="D57" s="8">
        <f>D55*F55/(H55*E56*G56^2)</f>
        <v>0.00701354072728483</v>
      </c>
    </row>
    <row r="58" ht="32.25" customHeight="1">
      <c r="B58" t="s">
        <v>431</v>
      </c>
    </row>
    <row r="59">
      <c r="B59" t="s">
        <v>445</v>
      </c>
    </row>
    <row r="60">
      <c r="B60" t="s">
        <v>446</v>
      </c>
    </row>
    <row r="61">
      <c r="C61" s="1">
        <f>E15</f>
        <v>2428.97273156587</v>
      </c>
      <c r="D61" s="4" t="s">
        <v>85</v>
      </c>
      <c r="E61" s="1">
        <f>102+1.2+0.925/2-91.79</f>
        <v>11.872500000000002</v>
      </c>
      <c r="F61" s="2" t="s">
        <v>31</v>
      </c>
      <c r="G61" s="1">
        <f>C61/E61</f>
        <v>204.58814331993005</v>
      </c>
      <c r="H61" t="s">
        <v>182</v>
      </c>
    </row>
    <row r="62">
      <c r="A62" t="s">
        <v>447</v>
      </c>
    </row>
    <row r="63">
      <c r="B63" t="s">
        <v>448</v>
      </c>
      <c r="C63" s="1">
        <f>G61</f>
        <v>204.58814331993005</v>
      </c>
      <c r="D63" s="1" t="s">
        <v>69</v>
      </c>
      <c r="E63">
        <v>1000</v>
      </c>
      <c r="F63" s="1" t="s">
        <v>427</v>
      </c>
      <c r="G63">
        <f>E56</f>
        <v>12001.2</v>
      </c>
      <c r="H63" s="1" t="s">
        <v>69</v>
      </c>
      <c r="I63">
        <f>G56</f>
        <v>1201.2</v>
      </c>
      <c r="J63" t="s">
        <v>83</v>
      </c>
    </row>
    <row r="64" ht="14.25" customHeight="1">
      <c r="C64" t="s">
        <v>31</v>
      </c>
      <c r="D64" s="1">
        <f>C63*E63/(G63*I63)</f>
        <v>0.014191897446392144</v>
      </c>
      <c r="E64" t="s">
        <v>210</v>
      </c>
    </row>
    <row r="65">
      <c r="B65" t="s">
        <v>449</v>
      </c>
      <c r="C65" s="1">
        <f>F51*0.785*C51^2/(E56*G56)*100</f>
        <v>0.3</v>
      </c>
    </row>
    <row r="66" ht="14.25" customHeight="1">
      <c r="B66" t="s">
        <v>450</v>
      </c>
      <c r="C66" s="1">
        <v>0.4</v>
      </c>
      <c r="D66" t="s">
        <v>210</v>
      </c>
      <c r="E66" t="s">
        <v>451</v>
      </c>
    </row>
    <row r="67">
      <c r="B67" t="s">
        <v>452</v>
      </c>
    </row>
    <row r="68">
      <c r="B68" t="s">
        <v>453</v>
      </c>
    </row>
    <row r="69" ht="14.25" customHeight="1">
      <c r="B69" t="s">
        <v>454</v>
      </c>
      <c r="C69" t="s">
        <v>31</v>
      </c>
      <c r="D69" s="4">
        <f>C51</f>
        <v>25</v>
      </c>
      <c r="E69" t="s">
        <v>85</v>
      </c>
      <c r="F69">
        <v>4</v>
      </c>
      <c r="G69" t="s">
        <v>31</v>
      </c>
      <c r="H69">
        <f>D69/F69</f>
        <v>6.25</v>
      </c>
      <c r="I69" t="s">
        <v>208</v>
      </c>
    </row>
    <row r="70">
      <c r="B70" t="s">
        <v>455</v>
      </c>
      <c r="C70">
        <v>12</v>
      </c>
      <c r="D70" s="8" t="s">
        <v>456</v>
      </c>
    </row>
    <row r="71">
      <c r="B71" t="s">
        <v>457</v>
      </c>
    </row>
    <row r="72">
      <c r="B72" t="s">
        <v>458</v>
      </c>
      <c r="C72">
        <f>I63</f>
        <v>1201.2</v>
      </c>
      <c r="D72" t="s">
        <v>208</v>
      </c>
    </row>
    <row r="73">
      <c r="B73" t="s">
        <v>459</v>
      </c>
      <c r="C73">
        <v>12</v>
      </c>
      <c r="D73" s="1" t="s">
        <v>69</v>
      </c>
      <c r="E73" s="4">
        <f>C70</f>
        <v>12</v>
      </c>
      <c r="F73" s="1" t="s">
        <v>31</v>
      </c>
      <c r="G73" s="4">
        <f>C73*E73</f>
        <v>144</v>
      </c>
      <c r="H73" s="4" t="s">
        <v>208</v>
      </c>
    </row>
    <row r="74">
      <c r="B74" t="s">
        <v>460</v>
      </c>
      <c r="C74">
        <v>300</v>
      </c>
      <c r="D74" s="8" t="s">
        <v>208</v>
      </c>
    </row>
    <row r="75">
      <c r="B75" t="s">
        <v>461</v>
      </c>
      <c r="C75" t="s">
        <v>462</v>
      </c>
      <c r="D75" s="4">
        <v>100</v>
      </c>
      <c r="E75" s="1" t="s">
        <v>208</v>
      </c>
    </row>
    <row r="76" ht="14.25" customHeight="1">
      <c r="B76" t="s">
        <v>455</v>
      </c>
      <c r="C76">
        <f>C70</f>
        <v>12</v>
      </c>
      <c r="D76" s="8" t="s">
        <v>463</v>
      </c>
      <c r="F76" s="4">
        <v>100</v>
      </c>
      <c r="G76" t="s">
        <v>464</v>
      </c>
    </row>
    <row r="77">
      <c r="B77" s="4" t="s">
        <v>465</v>
      </c>
    </row>
    <row r="78">
      <c r="B78" s="4" t="s">
        <v>466</v>
      </c>
    </row>
    <row r="79">
      <c r="B79" s="4" t="s">
        <v>467</v>
      </c>
      <c r="D79" s="4" t="s">
        <v>468</v>
      </c>
    </row>
    <row r="80">
      <c r="C80" s="1" t="s">
        <v>469</v>
      </c>
    </row>
    <row r="81">
      <c r="B81" s="1" t="s">
        <v>42</v>
      </c>
      <c r="C81" s="1" t="s">
        <v>31</v>
      </c>
      <c r="D81" s="1">
        <f>F76</f>
        <v>100</v>
      </c>
      <c r="E81" s="1" t="s">
        <v>208</v>
      </c>
    </row>
    <row r="82" ht="14.25" customHeight="1">
      <c r="B82" s="1" t="s">
        <v>94</v>
      </c>
      <c r="C82" s="1" t="s">
        <v>31</v>
      </c>
      <c r="D82" s="1">
        <v>300</v>
      </c>
      <c r="E82" s="1" t="s">
        <v>210</v>
      </c>
      <c r="F82" s="1" t="s">
        <v>470</v>
      </c>
    </row>
    <row r="83" ht="14.25" customHeight="1">
      <c r="B83" s="1" t="s">
        <v>471</v>
      </c>
      <c r="C83" s="1" t="s">
        <v>31</v>
      </c>
      <c r="D83" s="1">
        <v>30</v>
      </c>
      <c r="E83" s="1" t="s">
        <v>210</v>
      </c>
      <c r="H83" s="4" t="s">
        <v>472</v>
      </c>
    </row>
    <row r="84" ht="14.25" customHeight="1">
      <c r="B84" s="1" t="s">
        <v>473</v>
      </c>
      <c r="C84" s="1" t="s">
        <v>31</v>
      </c>
      <c r="D84" s="1">
        <v>415</v>
      </c>
      <c r="E84" s="1" t="s">
        <v>210</v>
      </c>
    </row>
    <row r="85" ht="14.25" customHeight="1">
      <c r="B85" s="1" t="s">
        <v>474</v>
      </c>
      <c r="C85" s="1" t="s">
        <v>31</v>
      </c>
      <c r="D85" s="1">
        <f>G48*1</f>
        <v>1201.2</v>
      </c>
      <c r="E85" s="1" t="s">
        <v>435</v>
      </c>
      <c r="F85" s="1" t="s">
        <v>475</v>
      </c>
    </row>
    <row r="86" ht="14.25" customHeight="1">
      <c r="B86" s="1" t="s">
        <v>476</v>
      </c>
      <c r="C86" s="1" t="s">
        <v>31</v>
      </c>
      <c r="D86" s="1">
        <f>D85-2*(75-C51/2-C76)</f>
        <v>1100.2</v>
      </c>
      <c r="E86" s="1" t="s">
        <v>435</v>
      </c>
      <c r="F86" s="1" t="s">
        <v>477</v>
      </c>
    </row>
    <row r="87" ht="14.25" customHeight="1">
      <c r="B87" s="1" t="s">
        <v>478</v>
      </c>
      <c r="C87" s="1" t="s">
        <v>31</v>
      </c>
      <c r="D87" s="1">
        <f>0.18*D81*D82*(D83/D84)*(D85/D86-1)</f>
        <v>35.83576261052205</v>
      </c>
      <c r="E87" s="1" t="s">
        <v>435</v>
      </c>
    </row>
    <row r="88" ht="14.25" customHeight="1">
      <c r="B88" s="1" t="s">
        <v>479</v>
      </c>
      <c r="C88" s="1" t="s">
        <v>31</v>
      </c>
      <c r="D88" s="1">
        <f>0.785*C76^2</f>
        <v>113.04</v>
      </c>
      <c r="E88" s="1" t="s">
        <v>435</v>
      </c>
      <c r="F88" s="1" t="s">
        <v>480</v>
      </c>
    </row>
    <row r="89">
      <c r="B89" t="s">
        <v>461</v>
      </c>
      <c r="C89" t="s">
        <v>462</v>
      </c>
      <c r="D89" s="4">
        <v>100</v>
      </c>
      <c r="E89" s="1" t="s">
        <v>208</v>
      </c>
    </row>
    <row r="90" ht="14.25" customHeight="1">
      <c r="B90" t="s">
        <v>455</v>
      </c>
      <c r="C90">
        <f>C70</f>
        <v>12</v>
      </c>
      <c r="D90" s="8" t="s">
        <v>463</v>
      </c>
      <c r="F90" s="4">
        <v>100</v>
      </c>
      <c r="G90" t="s">
        <v>464</v>
      </c>
    </row>
    <row r="91">
      <c r="B91" s="4" t="s">
        <v>465</v>
      </c>
    </row>
    <row r="92">
      <c r="B92" s="4" t="s">
        <v>481</v>
      </c>
    </row>
    <row r="93">
      <c r="B93" t="s">
        <v>482</v>
      </c>
    </row>
    <row r="94">
      <c r="B94" t="s">
        <v>483</v>
      </c>
      <c r="C94" s="4">
        <f>C51</f>
        <v>25</v>
      </c>
      <c r="D94" s="4" t="s">
        <v>441</v>
      </c>
      <c r="E94" s="4">
        <f>D52</f>
        <v>290</v>
      </c>
      <c r="F94" s="4" t="s">
        <v>443</v>
      </c>
      <c r="G94" t="s">
        <v>484</v>
      </c>
    </row>
    <row r="95">
      <c r="B95" t="s">
        <v>445</v>
      </c>
      <c r="C95" t="s">
        <f>CONCATENATE("   ",C90,D90,F90,G90)</f>
        <v>485</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486</v>
      </c>
    </row>
    <row r="2">
      <c r="A2" s="4" t="s">
        <f>'STEEL IN FLARED  PIER BASE '!A2:O2</f>
        <v>26</v>
      </c>
    </row>
    <row r="3">
      <c r="B3" t="s">
        <v>401</v>
      </c>
      <c r="C3" s="1">
        <f>'STEEL IN FLARED  PIER BASE '!E3</f>
        <v>93.56999999999998</v>
      </c>
      <c r="D3" t="s">
        <v>402</v>
      </c>
      <c r="E3" s="1">
        <f>102-1.2</f>
        <v>100.8</v>
      </c>
      <c r="F3" t="s">
        <v>70</v>
      </c>
    </row>
    <row r="4">
      <c r="A4" t="s">
        <v>403</v>
      </c>
    </row>
    <row r="5">
      <c r="B5" t="s">
        <v>358</v>
      </c>
    </row>
    <row r="6">
      <c r="B6" s="1" t="s">
        <f>'STABILITY CHECK FOR PIER'!B201</f>
        <v>268</v>
      </c>
      <c r="C6" s="1" t="s">
        <f>'STABILITY CHECK FOR PIER'!C201</f>
        <v>31</v>
      </c>
      <c r="D6" s="1">
        <f>'STABILITY CHECK FOR PIER'!D201</f>
        <v>1463.6159999999998</v>
      </c>
      <c r="E6" s="1" t="s">
        <f>'STABILITY CHECK FOR PIER'!E201</f>
        <v>182</v>
      </c>
    </row>
    <row r="7">
      <c r="B7" s="1" t="s">
        <f>'STABILITY CHECK FOR PIER'!B202</f>
        <v>270</v>
      </c>
      <c r="C7" s="1" t="s">
        <f>'STABILITY CHECK FOR PIER'!C202</f>
        <v>31</v>
      </c>
      <c r="D7" s="1">
        <f>'STABILITY CHECK FOR PIER'!D202</f>
        <v>2821.2050880000015</v>
      </c>
      <c r="E7" s="1" t="s">
        <f>'STABILITY CHECK FOR PIER'!E202</f>
        <v>182</v>
      </c>
      <c r="F7" s="1" t="s">
        <f>'STABILITY CHECK FOR PIER'!F202</f>
        <v>359</v>
      </c>
    </row>
    <row r="8">
      <c r="B8" s="1" t="s">
        <f>'STABILITY CHECK FOR PIER'!B203</f>
        <v>270</v>
      </c>
      <c r="C8" s="1" t="s">
        <f>'STABILITY CHECK FOR PIER'!C203</f>
        <v>31</v>
      </c>
      <c r="D8" s="1">
        <f>'STABILITY CHECK FOR PIER'!D203</f>
        <v>2271.835470000002</v>
      </c>
      <c r="E8" s="1" t="s">
        <f>'STABILITY CHECK FOR PIER'!E203</f>
        <v>182</v>
      </c>
      <c r="F8" s="1" t="s">
        <f>'STABILITY CHECK FOR PIER'!F203</f>
        <v>360</v>
      </c>
    </row>
    <row r="9">
      <c r="B9" s="1" t="s">
        <f>'STABILITY CHECK FOR PIER'!B204</f>
        <v>361</v>
      </c>
      <c r="C9" s="1" t="s">
        <f>'STABILITY CHECK FOR PIER'!C204</f>
        <v>31</v>
      </c>
      <c r="D9" s="1">
        <f>'STABILITY CHECK FOR PIER'!D204</f>
        <v>788.2663473053892</v>
      </c>
      <c r="E9" s="1" t="s">
        <f>'STABILITY CHECK FOR PIER'!E204</f>
        <v>182</v>
      </c>
    </row>
    <row r="10">
      <c r="B10" s="1" t="s">
        <f>'STABILITY CHECK FOR PIER'!B205</f>
        <v>362</v>
      </c>
      <c r="C10" s="1" t="s">
        <f>'STABILITY CHECK FOR PIER'!C205</f>
        <v>31</v>
      </c>
      <c r="D10" s="1">
        <f>'STABILITY CHECK FOR PIER'!D205</f>
        <v>5073.0874353053905</v>
      </c>
      <c r="E10" s="1" t="s">
        <f>'STABILITY CHECK FOR PIER'!E205</f>
        <v>182</v>
      </c>
    </row>
    <row r="11">
      <c r="B11" s="1" t="s">
        <f>'STABILITY CHECK FOR PIER'!B206</f>
        <v>363</v>
      </c>
      <c r="C11" s="1" t="s">
        <f>'STABILITY CHECK FOR PIER'!C206</f>
        <v>31</v>
      </c>
      <c r="D11" s="1">
        <f>'STABILITY CHECK FOR PIER'!D206</f>
        <v>4523.717817305391</v>
      </c>
      <c r="E11" s="1" t="s">
        <f>'STABILITY CHECK FOR PIER'!E206</f>
        <v>182</v>
      </c>
    </row>
    <row r="12">
      <c r="B12" s="1" t="s">
        <f>'STABILITY CHECK FOR PIER'!B422</f>
        <v>364</v>
      </c>
    </row>
    <row r="13">
      <c r="B13" s="1" t="s">
        <v>324</v>
      </c>
      <c r="C13" s="1">
        <f>C3</f>
        <v>93.56999999999998</v>
      </c>
      <c r="D13" s="1" t="s">
        <f>D15</f>
        <v>325</v>
      </c>
      <c r="E13" s="1">
        <f>'STABILITY CHECK FOR PIER'!H207</f>
        <v>356.81410292867747</v>
      </c>
      <c r="F13" s="1" t="s">
        <f>'STABILITY CHECK FOR PIER'!K115</f>
        <v>301</v>
      </c>
    </row>
    <row r="14">
      <c r="B14" s="1" t="s">
        <f>'STABILITY CHECK FOR PIER'!B423</f>
        <v>365</v>
      </c>
    </row>
    <row r="15">
      <c r="B15" s="1" t="s">
        <v>324</v>
      </c>
      <c r="C15" s="1">
        <f>C3</f>
        <v>93.56999999999998</v>
      </c>
      <c r="D15" s="1" t="s">
        <f>'STABILITY CHECK FOR PIER'!E155</f>
        <v>325</v>
      </c>
      <c r="E15" s="1">
        <f>'STABILITY CHECK FOR PIER'!H208</f>
        <v>2360.441980772989</v>
      </c>
      <c r="F15" s="1" t="s">
        <f>'STABILITY CHECK FOR PIER'!K156</f>
        <v>301</v>
      </c>
    </row>
    <row r="16">
      <c r="B16" t="s">
        <f>[1]TROUGH!A21</f>
        <v>404</v>
      </c>
      <c r="D16" t="s">
        <f>'STEEL IN FLARED  PIER BASE '!D16</f>
        <v>405</v>
      </c>
    </row>
    <row r="17">
      <c r="B17" t="s">
        <f>[1]TROUGH!A22</f>
        <v>406</v>
      </c>
      <c r="F17">
        <f>[1]TROUGH!F22</f>
        <v>415</v>
      </c>
      <c r="G17" t="s">
        <f>[1]TROUGH!G22</f>
        <v>210</v>
      </c>
    </row>
    <row r="18">
      <c r="B18" t="s">
        <f>[1]TROUGH!A23</f>
        <v>407</v>
      </c>
    </row>
    <row r="19">
      <c r="B19" t="s">
        <f>[1]TROUGH!B24</f>
        <v>408</v>
      </c>
      <c r="D19">
        <v>190</v>
      </c>
    </row>
    <row r="20">
      <c r="B20" t="s">
        <f>[1]TROUGH!B31</f>
        <v>409</v>
      </c>
    </row>
    <row r="21" ht="25.5" customHeight="1">
      <c r="B21" t="s">
        <v>410</v>
      </c>
      <c r="D21" t="s">
        <v>411</v>
      </c>
      <c r="E21" s="1" t="s">
        <v>31</v>
      </c>
      <c r="F21">
        <v>30</v>
      </c>
      <c r="G21" t="s">
        <v>210</v>
      </c>
    </row>
    <row r="22" ht="25.5" customHeight="1">
      <c r="B22" t="s">
        <f>[1]TROUGH!B32</f>
        <v>412</v>
      </c>
      <c r="D22" t="s">
        <f>[1]TROUGH!C32</f>
        <v>413</v>
      </c>
      <c r="E22" s="1" t="s">
        <f>[1]TROUGH!D32</f>
        <v>31</v>
      </c>
      <c r="F22">
        <v>8</v>
      </c>
      <c r="G22" t="s">
        <f>[1]TROUGH!F32</f>
        <v>210</v>
      </c>
    </row>
    <row r="23" ht="25.5" customHeight="1">
      <c r="B23" t="s">
        <f>[1]TROUGH!B33</f>
        <v>414</v>
      </c>
      <c r="D23" t="s">
        <f>[1]TROUGH!C33</f>
        <v>415</v>
      </c>
      <c r="E23" s="1" t="s">
        <f>[1]TROUGH!D33</f>
        <v>31</v>
      </c>
      <c r="F23">
        <f>[1]TROUGH!E33</f>
        <v>8</v>
      </c>
      <c r="G23" t="s">
        <f>[1]TROUGH!F33</f>
        <v>210</v>
      </c>
    </row>
    <row r="24">
      <c r="D24" t="s">
        <f>[1]TROUGH!C34</f>
        <v>416</v>
      </c>
      <c r="E24" s="1" t="s">
        <f>[1]TROUGH!D34</f>
        <v>31</v>
      </c>
      <c r="F24">
        <f>[1]TROUGH!E34</f>
        <v>3.6</v>
      </c>
      <c r="G24" t="s">
        <f>[1]TROUGH!F34</f>
        <v>210</v>
      </c>
    </row>
    <row r="25" ht="15.75" customHeight="1">
      <c r="B25" t="s">
        <v>417</v>
      </c>
      <c r="C25" t="s">
        <v>31</v>
      </c>
      <c r="D25">
        <v>1.5</v>
      </c>
      <c r="E25" s="1" t="s">
        <v>418</v>
      </c>
      <c r="F25" s="1">
        <f>D10</f>
        <v>5073.0874353053905</v>
      </c>
      <c r="G25" t="s">
        <v>31</v>
      </c>
      <c r="H25">
        <f>D25*F25</f>
        <v>7609.631152958085</v>
      </c>
      <c r="I25" t="s">
        <v>182</v>
      </c>
    </row>
    <row r="26" ht="15.75" customHeight="1">
      <c r="B26" t="s">
        <v>419</v>
      </c>
      <c r="C26" t="s">
        <v>31</v>
      </c>
      <c r="D26">
        <v>1.5</v>
      </c>
      <c r="E26" s="1" t="s">
        <v>418</v>
      </c>
      <c r="F26" s="1">
        <f>E13</f>
        <v>356.81410292867747</v>
      </c>
      <c r="G26" t="s">
        <v>31</v>
      </c>
      <c r="H26">
        <f>D26*F26</f>
        <v>535.2211543930161</v>
      </c>
      <c r="I26" t="s">
        <v>301</v>
      </c>
    </row>
    <row r="27" ht="15.75" customHeight="1">
      <c r="B27" t="s">
        <v>420</v>
      </c>
      <c r="C27" t="s">
        <v>31</v>
      </c>
      <c r="D27">
        <v>1.5</v>
      </c>
      <c r="E27" s="1" t="s">
        <v>418</v>
      </c>
      <c r="F27" s="1">
        <f>E15</f>
        <v>2360.441980772989</v>
      </c>
      <c r="G27" t="s">
        <v>31</v>
      </c>
      <c r="H27">
        <f>D27*F27</f>
        <v>3540.6629711594837</v>
      </c>
      <c r="I27" t="s">
        <v>301</v>
      </c>
    </row>
    <row r="28">
      <c r="B28" t="s">
        <v>421</v>
      </c>
      <c r="F28">
        <v>33.33</v>
      </c>
      <c r="G28" t="s">
        <v>249</v>
      </c>
    </row>
    <row r="29">
      <c r="B29" t="s">
        <v>422</v>
      </c>
    </row>
    <row r="30">
      <c r="C30">
        <v>12000</v>
      </c>
      <c r="D30" t="s">
        <v>423</v>
      </c>
      <c r="E30">
        <v>1200</v>
      </c>
      <c r="F30" t="s">
        <v>208</v>
      </c>
    </row>
    <row r="31">
      <c r="C31" t="s">
        <v>424</v>
      </c>
      <c r="D31">
        <v>75</v>
      </c>
    </row>
    <row r="32" ht="14.25" customHeight="1">
      <c r="B32" t="s">
        <v>425</v>
      </c>
      <c r="C32" t="s">
        <v>31</v>
      </c>
      <c r="D32">
        <f>D31+C51/2</f>
        <v>87.5</v>
      </c>
      <c r="E32" t="s">
        <v>85</v>
      </c>
      <c r="F32">
        <f>E30</f>
        <v>1200</v>
      </c>
      <c r="G32" t="s">
        <v>31</v>
      </c>
      <c r="H32" s="8">
        <f>D32/F32</f>
        <v>0.07291666666666667</v>
      </c>
    </row>
    <row r="33" ht="15.75" customHeight="1">
      <c r="B33" t="s">
        <v>426</v>
      </c>
      <c r="C33" t="s">
        <v>31</v>
      </c>
      <c r="D33" s="1">
        <f>H25</f>
        <v>7609.631152958085</v>
      </c>
      <c r="E33" t="s">
        <v>69</v>
      </c>
      <c r="F33">
        <v>1000</v>
      </c>
      <c r="G33" t="s">
        <v>427</v>
      </c>
      <c r="H33">
        <f>$F$21</f>
        <v>30</v>
      </c>
      <c r="I33" t="s">
        <v>69</v>
      </c>
      <c r="J33">
        <f>$C$30</f>
        <v>12000</v>
      </c>
      <c r="K33" t="s">
        <v>177</v>
      </c>
      <c r="L33">
        <f>$E$30</f>
        <v>1200</v>
      </c>
      <c r="M33" t="s">
        <v>83</v>
      </c>
    </row>
    <row r="34">
      <c r="C34" t="s">
        <v>31</v>
      </c>
      <c r="D34" s="8">
        <f>D33*F33/(H33*J33*L33)</f>
        <v>0.017614886928143718</v>
      </c>
    </row>
    <row r="35">
      <c r="B35" t="s">
        <v>428</v>
      </c>
    </row>
    <row r="36" ht="15.75" customHeight="1">
      <c r="B36" t="s">
        <v>429</v>
      </c>
      <c r="C36" t="s">
        <v>31</v>
      </c>
      <c r="D36" s="1">
        <f>H26</f>
        <v>535.2211543930161</v>
      </c>
      <c r="E36" t="s">
        <f>E33</f>
        <v>69</v>
      </c>
      <c r="F36">
        <f>$F$33*1000</f>
        <v>1000000</v>
      </c>
      <c r="G36" t="s">
        <v>427</v>
      </c>
      <c r="H36">
        <f>$F$21</f>
        <v>30</v>
      </c>
      <c r="I36" t="s">
        <v>69</v>
      </c>
      <c r="J36">
        <f>$C$30</f>
        <v>12000</v>
      </c>
      <c r="K36" t="s">
        <v>177</v>
      </c>
      <c r="L36">
        <f>$E$30</f>
        <v>1200</v>
      </c>
      <c r="M36" t="s">
        <v>430</v>
      </c>
    </row>
    <row r="37">
      <c r="C37" t="s">
        <v>31</v>
      </c>
      <c r="D37" s="8">
        <f>D36*F36/(H36*J36*L36^2)</f>
        <v>0.001032448214492701</v>
      </c>
    </row>
    <row r="38" ht="31.5" customHeight="1">
      <c r="B38" t="s">
        <v>431</v>
      </c>
    </row>
    <row r="39" ht="12.75" customHeight="1">
      <c r="B39" t="s">
        <v>432</v>
      </c>
    </row>
    <row r="40">
      <c r="B40" t="s">
        <v>433</v>
      </c>
    </row>
    <row r="42">
      <c r="B42" t="s">
        <v>434</v>
      </c>
      <c r="D42" s="1">
        <f>$D$11</f>
        <v>4523.717817305391</v>
      </c>
      <c r="E42" s="1" t="s">
        <f>E33</f>
        <v>69</v>
      </c>
      <c r="F42" s="4">
        <f>F33</f>
        <v>1000</v>
      </c>
      <c r="G42" t="s">
        <v>85</v>
      </c>
      <c r="H42">
        <f>$F$22</f>
        <v>8</v>
      </c>
    </row>
    <row r="43" ht="14.25" customHeight="1">
      <c r="C43" t="s">
        <v>31</v>
      </c>
      <c r="D43" s="4">
        <f>D42*F42/H42</f>
        <v>565464.7271631738</v>
      </c>
      <c r="E43" t="s">
        <v>435</v>
      </c>
    </row>
    <row r="44">
      <c r="B44" t="s">
        <v>436</v>
      </c>
      <c r="C44">
        <f>0.8</f>
        <v>0.8</v>
      </c>
      <c r="D44" t="s">
        <v>69</v>
      </c>
      <c r="E44" s="4">
        <f>D43</f>
        <v>565464.7271631738</v>
      </c>
      <c r="F44" t="s">
        <v>85</v>
      </c>
      <c r="G44">
        <v>100</v>
      </c>
    </row>
    <row r="45" ht="14.25" customHeight="1">
      <c r="C45" t="s">
        <v>31</v>
      </c>
      <c r="D45" s="4">
        <f>C44*E44/100</f>
        <v>4523.717817305391</v>
      </c>
      <c r="E45" t="s">
        <v>435</v>
      </c>
    </row>
    <row r="47">
      <c r="B47" t="s">
        <v>437</v>
      </c>
    </row>
    <row r="48">
      <c r="B48" t="s">
        <v>438</v>
      </c>
      <c r="C48">
        <v>0.3</v>
      </c>
      <c r="D48" t="s">
        <v>69</v>
      </c>
      <c r="E48">
        <f>C30</f>
        <v>12000</v>
      </c>
      <c r="F48" t="s">
        <v>177</v>
      </c>
      <c r="G48">
        <f>$E$30</f>
        <v>1200</v>
      </c>
      <c r="H48" t="s">
        <v>85</v>
      </c>
      <c r="I48">
        <v>100</v>
      </c>
    </row>
    <row r="49" ht="14.25" customHeight="1">
      <c r="C49" t="s">
        <v>31</v>
      </c>
      <c r="D49" s="4">
        <f>C48*E48*G48/100</f>
        <v>43200</v>
      </c>
      <c r="E49" t="s">
        <v>435</v>
      </c>
    </row>
    <row r="50" ht="14.25" customHeight="1">
      <c r="B50" t="s">
        <v>439</v>
      </c>
      <c r="C50" t="s">
        <v>31</v>
      </c>
      <c r="D50" s="4">
        <f>D49</f>
        <v>43200</v>
      </c>
      <c r="E50" t="s">
        <v>435</v>
      </c>
    </row>
    <row r="51">
      <c r="B51" t="s">
        <v>440</v>
      </c>
      <c r="C51">
        <v>25</v>
      </c>
      <c r="D51" t="s">
        <v>441</v>
      </c>
      <c r="E51" t="s">
        <v>31</v>
      </c>
      <c r="F51" s="4">
        <f>D50/(0.785*C51^2)</f>
        <v>88.05095541401273</v>
      </c>
      <c r="G51" t="s">
        <v>216</v>
      </c>
    </row>
    <row r="52">
      <c r="B52" t="s">
        <v>442</v>
      </c>
      <c r="C52" t="s">
        <v>31</v>
      </c>
      <c r="D52" s="4">
        <f>ROUNDDOWN((2*(E48+G48)/F51),-1)</f>
        <v>290</v>
      </c>
      <c r="E52" t="s">
        <v>443</v>
      </c>
    </row>
    <row r="53">
      <c r="B53" t="s">
        <v>444</v>
      </c>
    </row>
    <row r="55" ht="15.75" customHeight="1">
      <c r="B55" t="s">
        <v>429</v>
      </c>
      <c r="C55" t="s">
        <v>31</v>
      </c>
      <c r="D55" s="1">
        <f>H27</f>
        <v>3540.6629711594837</v>
      </c>
      <c r="E55" t="s">
        <f>E36</f>
        <v>69</v>
      </c>
      <c r="F55">
        <f>$F$33*1000</f>
        <v>1000000</v>
      </c>
      <c r="G55" t="s">
        <f>G36</f>
        <v>427</v>
      </c>
      <c r="H55">
        <f>$F$21</f>
        <v>30</v>
      </c>
      <c r="I55" t="s">
        <f>I36</f>
        <v>69</v>
      </c>
    </row>
    <row r="56" ht="14.25" customHeight="1">
      <c r="E56">
        <f>$C$30</f>
        <v>12000</v>
      </c>
      <c r="F56" t="s">
        <v>177</v>
      </c>
      <c r="G56">
        <f>$E$30</f>
        <v>1200</v>
      </c>
      <c r="H56" t="s">
        <v>430</v>
      </c>
    </row>
    <row r="57">
      <c r="C57" t="s">
        <v>31</v>
      </c>
      <c r="D57" s="8">
        <f>D55*F55/(H55*E56*G56^2)</f>
        <v>0.006829982583255177</v>
      </c>
    </row>
    <row r="58" ht="29.25" customHeight="1">
      <c r="B58" t="s">
        <v>431</v>
      </c>
    </row>
    <row r="59">
      <c r="B59" t="s">
        <v>445</v>
      </c>
    </row>
    <row r="60">
      <c r="B60" t="s">
        <v>446</v>
      </c>
    </row>
    <row r="61">
      <c r="C61" s="1">
        <f>E15</f>
        <v>2360.441980772989</v>
      </c>
      <c r="D61" s="4" t="s">
        <v>85</v>
      </c>
      <c r="E61" s="1">
        <f>102+1.2+0.925/2-91.79</f>
        <v>11.872500000000002</v>
      </c>
      <c r="F61" s="2" t="s">
        <v>31</v>
      </c>
      <c r="G61" s="1">
        <f>C61/E61</f>
        <v>198.8159175214141</v>
      </c>
      <c r="H61" t="s">
        <v>182</v>
      </c>
    </row>
    <row r="62">
      <c r="A62" t="s">
        <v>447</v>
      </c>
    </row>
    <row r="63">
      <c r="B63" t="s">
        <v>448</v>
      </c>
      <c r="C63" s="1">
        <f>G61</f>
        <v>198.8159175214141</v>
      </c>
      <c r="D63" s="1" t="s">
        <v>69</v>
      </c>
      <c r="E63">
        <v>1000</v>
      </c>
      <c r="F63" s="1" t="s">
        <v>427</v>
      </c>
      <c r="G63">
        <f>E56</f>
        <v>12000</v>
      </c>
      <c r="H63" s="1" t="s">
        <v>69</v>
      </c>
      <c r="I63">
        <f>G56</f>
        <v>1200</v>
      </c>
      <c r="J63" t="s">
        <v>83</v>
      </c>
    </row>
    <row r="64" ht="14.25" customHeight="1">
      <c r="C64" t="s">
        <v>31</v>
      </c>
      <c r="D64" s="1">
        <f>C63*E63/(G63*I63)</f>
        <v>0.01380666093898709</v>
      </c>
      <c r="E64" t="s">
        <v>210</v>
      </c>
    </row>
    <row r="65">
      <c r="B65" t="s">
        <v>449</v>
      </c>
      <c r="C65" s="1">
        <f>F51*0.785*C51^2/(E56*G56)*100</f>
        <v>0.3</v>
      </c>
    </row>
    <row r="66" ht="14.25" customHeight="1">
      <c r="B66" t="s">
        <v>450</v>
      </c>
      <c r="C66" s="1">
        <v>0.4</v>
      </c>
      <c r="D66" t="s">
        <v>210</v>
      </c>
      <c r="E66" t="s">
        <v>451</v>
      </c>
    </row>
    <row r="67">
      <c r="B67" t="s">
        <v>452</v>
      </c>
    </row>
    <row r="68">
      <c r="B68" t="s">
        <v>453</v>
      </c>
    </row>
    <row r="69" ht="14.25" customHeight="1">
      <c r="B69" t="s">
        <v>454</v>
      </c>
      <c r="C69" t="s">
        <v>31</v>
      </c>
      <c r="D69" s="4">
        <f>C51</f>
        <v>25</v>
      </c>
      <c r="E69" t="s">
        <v>85</v>
      </c>
      <c r="F69">
        <v>4</v>
      </c>
      <c r="G69" t="s">
        <v>31</v>
      </c>
      <c r="H69">
        <f>D69/F69</f>
        <v>6.25</v>
      </c>
      <c r="I69" t="s">
        <v>208</v>
      </c>
    </row>
    <row r="70">
      <c r="B70" t="s">
        <v>455</v>
      </c>
      <c r="C70">
        <v>12</v>
      </c>
      <c r="D70" s="8" t="s">
        <v>456</v>
      </c>
    </row>
    <row r="71">
      <c r="B71" t="s">
        <v>457</v>
      </c>
    </row>
    <row r="72">
      <c r="B72" t="s">
        <v>458</v>
      </c>
      <c r="C72">
        <f>I63</f>
        <v>1200</v>
      </c>
      <c r="D72" t="s">
        <v>208</v>
      </c>
    </row>
    <row r="73">
      <c r="B73" t="s">
        <v>459</v>
      </c>
      <c r="C73">
        <v>12</v>
      </c>
      <c r="D73" s="1" t="s">
        <v>69</v>
      </c>
      <c r="E73" s="4">
        <f>C70</f>
        <v>12</v>
      </c>
      <c r="F73" s="1" t="s">
        <v>31</v>
      </c>
      <c r="G73" s="4">
        <f>C73*E73</f>
        <v>144</v>
      </c>
      <c r="H73" s="4" t="s">
        <v>208</v>
      </c>
    </row>
    <row r="74">
      <c r="B74" t="s">
        <v>460</v>
      </c>
      <c r="C74">
        <v>300</v>
      </c>
      <c r="D74" s="8" t="s">
        <v>208</v>
      </c>
    </row>
    <row r="75">
      <c r="B75" t="s">
        <v>461</v>
      </c>
      <c r="C75" t="s">
        <v>462</v>
      </c>
      <c r="D75" s="4">
        <v>100</v>
      </c>
      <c r="E75" s="1" t="s">
        <v>208</v>
      </c>
    </row>
    <row r="76" ht="14.25" customHeight="1">
      <c r="B76" t="s">
        <v>455</v>
      </c>
      <c r="C76">
        <f>C70</f>
        <v>12</v>
      </c>
      <c r="D76" s="8" t="s">
        <v>463</v>
      </c>
      <c r="F76" s="4">
        <v>100</v>
      </c>
      <c r="G76" t="s">
        <v>464</v>
      </c>
    </row>
    <row r="77">
      <c r="B77" s="4" t="s">
        <v>465</v>
      </c>
    </row>
    <row r="78">
      <c r="B78" s="4" t="s">
        <v>466</v>
      </c>
    </row>
    <row r="79">
      <c r="B79" s="4" t="s">
        <v>467</v>
      </c>
      <c r="D79" s="4" t="s">
        <v>468</v>
      </c>
    </row>
    <row r="80">
      <c r="C80" s="1" t="s">
        <v>469</v>
      </c>
    </row>
    <row r="81">
      <c r="B81" s="1" t="s">
        <v>42</v>
      </c>
      <c r="C81" s="1" t="s">
        <v>31</v>
      </c>
      <c r="D81" s="1">
        <f>F76</f>
        <v>100</v>
      </c>
      <c r="E81" s="1" t="s">
        <v>208</v>
      </c>
    </row>
    <row r="82" ht="14.25" customHeight="1">
      <c r="B82" s="1" t="s">
        <v>94</v>
      </c>
      <c r="C82" s="1" t="s">
        <v>31</v>
      </c>
      <c r="D82" s="1">
        <v>300</v>
      </c>
      <c r="E82" s="1" t="s">
        <v>210</v>
      </c>
      <c r="F82" s="1" t="s">
        <v>470</v>
      </c>
    </row>
    <row r="83" ht="14.25" customHeight="1">
      <c r="B83" s="1" t="s">
        <v>471</v>
      </c>
      <c r="C83" s="1" t="s">
        <v>31</v>
      </c>
      <c r="D83" s="1">
        <v>30</v>
      </c>
      <c r="E83" s="1" t="s">
        <v>210</v>
      </c>
      <c r="H83" s="4" t="s">
        <v>472</v>
      </c>
    </row>
    <row r="84" ht="14.25" customHeight="1">
      <c r="B84" s="1" t="s">
        <v>473</v>
      </c>
      <c r="C84" s="1" t="s">
        <v>31</v>
      </c>
      <c r="D84" s="1">
        <v>415</v>
      </c>
      <c r="E84" s="1" t="s">
        <v>210</v>
      </c>
    </row>
    <row r="85" ht="14.25" customHeight="1">
      <c r="B85" s="1" t="s">
        <v>474</v>
      </c>
      <c r="C85" s="1" t="s">
        <v>31</v>
      </c>
      <c r="D85" s="1">
        <f>G48*1</f>
        <v>1200</v>
      </c>
      <c r="E85" s="1" t="s">
        <v>435</v>
      </c>
      <c r="F85" s="1" t="s">
        <v>475</v>
      </c>
    </row>
    <row r="86" ht="14.25" customHeight="1">
      <c r="B86" s="1" t="s">
        <v>476</v>
      </c>
      <c r="C86" s="1" t="s">
        <v>31</v>
      </c>
      <c r="D86" s="1">
        <f>D85-2*(75-C51/2-C76)</f>
        <v>1099</v>
      </c>
      <c r="E86" s="1" t="s">
        <v>435</v>
      </c>
      <c r="F86" s="1" t="s">
        <v>477</v>
      </c>
    </row>
    <row r="87" ht="14.25" customHeight="1">
      <c r="B87" s="1" t="s">
        <v>478</v>
      </c>
      <c r="C87" s="1" t="s">
        <v>31</v>
      </c>
      <c r="D87" s="1">
        <f>0.18*D81*D82*(D83/D84)*(D85/D86-1)</f>
        <v>35.874891741670936</v>
      </c>
      <c r="E87" s="1" t="s">
        <v>435</v>
      </c>
    </row>
    <row r="88" ht="14.25" customHeight="1">
      <c r="B88" s="1" t="s">
        <v>479</v>
      </c>
      <c r="C88" s="1" t="s">
        <v>31</v>
      </c>
      <c r="D88" s="1">
        <f>0.785*C76^2</f>
        <v>113.04</v>
      </c>
      <c r="E88" s="1" t="s">
        <v>435</v>
      </c>
      <c r="F88" s="1" t="s">
        <v>480</v>
      </c>
    </row>
    <row r="89">
      <c r="B89" t="s">
        <v>461</v>
      </c>
      <c r="C89" t="s">
        <v>462</v>
      </c>
      <c r="D89" s="4">
        <v>100</v>
      </c>
      <c r="E89" s="1" t="s">
        <v>208</v>
      </c>
    </row>
    <row r="90" ht="14.25" customHeight="1">
      <c r="B90" t="s">
        <v>455</v>
      </c>
      <c r="C90">
        <f>C70</f>
        <v>12</v>
      </c>
      <c r="D90" s="8" t="s">
        <v>463</v>
      </c>
      <c r="F90" s="4">
        <v>100</v>
      </c>
      <c r="G90" t="s">
        <v>464</v>
      </c>
    </row>
    <row r="91">
      <c r="B91" s="4" t="s">
        <v>465</v>
      </c>
    </row>
    <row r="92">
      <c r="B92" s="4" t="s">
        <v>481</v>
      </c>
    </row>
    <row r="93">
      <c r="B93" t="s">
        <v>482</v>
      </c>
    </row>
    <row r="94">
      <c r="B94" t="s">
        <v>483</v>
      </c>
      <c r="C94" s="4">
        <f>C51</f>
        <v>25</v>
      </c>
      <c r="D94" s="4" t="s">
        <v>441</v>
      </c>
      <c r="E94" s="4">
        <f>D52</f>
        <v>290</v>
      </c>
      <c r="F94" s="4" t="s">
        <v>443</v>
      </c>
      <c r="H94" t="s">
        <v>484</v>
      </c>
    </row>
    <row r="95">
      <c r="B95" t="s">
        <v>445</v>
      </c>
      <c r="C95" t="s">
        <f>CONCATENATE("   ",C90,D90,F90,G90)</f>
        <v>485</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487</v>
      </c>
    </row>
    <row r="2">
      <c r="A2" s="4" t="s">
        <f>'STEEL IN PIER'!A2:O2</f>
        <v>26</v>
      </c>
    </row>
    <row r="3">
      <c r="A3" t="s">
        <v>488</v>
      </c>
    </row>
    <row r="4" ht="15.75" customHeight="1">
      <c r="B4" t="s">
        <v>489</v>
      </c>
      <c r="C4" t="s">
        <v>490</v>
      </c>
      <c r="D4" s="1">
        <f>'STABILITY CHECK FOR PIER'!E52</f>
        <v>12</v>
      </c>
      <c r="E4" t="s">
        <v>63</v>
      </c>
    </row>
    <row r="5" ht="15.75" customHeight="1">
      <c r="B5" t="s">
        <v>491</v>
      </c>
      <c r="C5" t="s">
        <v>492</v>
      </c>
      <c r="D5" s="1">
        <f>'STABILITY CHECK FOR PIER'!G52</f>
        <v>3.8</v>
      </c>
      <c r="E5" t="s">
        <v>63</v>
      </c>
    </row>
    <row r="6">
      <c r="B6" t="s">
        <v>493</v>
      </c>
      <c r="D6" s="1">
        <v>1.2</v>
      </c>
      <c r="E6" t="s">
        <v>63</v>
      </c>
    </row>
    <row r="7">
      <c r="B7" t="s">
        <v>494</v>
      </c>
      <c r="C7" t="s">
        <v>38</v>
      </c>
      <c r="D7" s="1">
        <f>'STABILITY CHECK FOR PIER'!D263</f>
        <v>5073.0874353053905</v>
      </c>
      <c r="E7" t="s">
        <v>182</v>
      </c>
    </row>
    <row r="8" ht="15.75" customHeight="1">
      <c r="B8" t="s">
        <v>495</v>
      </c>
      <c r="C8" t="s">
        <v>496</v>
      </c>
      <c r="D8" s="1">
        <f>'STABILITY CHECK FOR PIER'!J265</f>
        <v>356.81410292867747</v>
      </c>
      <c r="E8" t="s">
        <v>301</v>
      </c>
    </row>
    <row r="9" ht="15.75" customHeight="1">
      <c r="B9" t="s">
        <v>497</v>
      </c>
      <c r="C9" t="s">
        <v>498</v>
      </c>
      <c r="D9" s="1">
        <f>'STABILITY CHECK FOR PIER'!J266</f>
        <v>2467.335738886583</v>
      </c>
      <c r="E9" t="s">
        <v>301</v>
      </c>
    </row>
    <row r="10" hidden="1" ht="15.75" customHeight="1">
      <c r="B10" t="s">
        <v>499</v>
      </c>
      <c r="C10" t="s">
        <v>500</v>
      </c>
      <c r="D10" s="1">
        <f>D8/D7</f>
        <v>0.07033470396064599</v>
      </c>
      <c r="E10" t="s">
        <v>63</v>
      </c>
    </row>
    <row r="11" hidden="1" ht="15.75" customHeight="1">
      <c r="B11" t="s">
        <v>501</v>
      </c>
      <c r="C11" t="s">
        <v>502</v>
      </c>
      <c r="D11" s="1">
        <f>D9/D7</f>
        <v>0.4863578186560575</v>
      </c>
      <c r="E11" t="s">
        <v>63</v>
      </c>
    </row>
    <row r="12" hidden="1" ht="15.75" customHeight="1">
      <c r="B12" s="1" t="s">
        <v>503</v>
      </c>
      <c r="D12" s="1">
        <f>D10/D4</f>
        <v>0.005861225330053833</v>
      </c>
      <c r="E12" s="1" t="s">
        <v>504</v>
      </c>
    </row>
    <row r="13" hidden="1" ht="15.75" customHeight="1">
      <c r="B13" s="1" t="s">
        <v>505</v>
      </c>
      <c r="D13" s="1">
        <f>D11/D5</f>
        <v>0.12798889964633092</v>
      </c>
    </row>
    <row r="14" hidden="1" ht="12.75" customHeight="1">
      <c r="B14" s="1" t="s">
        <v>506</v>
      </c>
      <c r="D14" s="1">
        <v>1</v>
      </c>
    </row>
    <row r="15" hidden="1">
      <c r="B15" s="1" t="s">
        <v>507</v>
      </c>
      <c r="D15" s="1">
        <v>0</v>
      </c>
    </row>
    <row r="16" ht="15.75" customHeight="1">
      <c r="B16" t="s">
        <v>508</v>
      </c>
      <c r="E16" s="1">
        <f>D5*D15</f>
        <v>0</v>
      </c>
      <c r="F16" s="1" t="s">
        <v>367</v>
      </c>
      <c r="G16" s="1">
        <f>E16/D5*100</f>
        <v>0</v>
      </c>
      <c r="H16" t="s">
        <v>249</v>
      </c>
    </row>
    <row r="17" ht="14.25" customHeight="1">
      <c r="B17" t="s">
        <v>509</v>
      </c>
      <c r="E17" s="1">
        <f>'STABILITY CHECK FOR PIER'!D279</f>
        <v>138.66109635051396</v>
      </c>
      <c r="F17" s="1" t="s">
        <v>258</v>
      </c>
    </row>
    <row r="18" ht="14.25" customHeight="1">
      <c r="B18" t="s">
        <v>510</v>
      </c>
      <c r="E18" s="1">
        <f>E17*D14</f>
        <v>138.66109635051396</v>
      </c>
      <c r="F18" s="1" t="s">
        <v>258</v>
      </c>
    </row>
    <row r="19" ht="14.25" customHeight="1">
      <c r="B19" t="s">
        <v>511</v>
      </c>
      <c r="E19" s="1">
        <f>E18</f>
        <v>138.66109635051396</v>
      </c>
      <c r="F19" s="1" t="s">
        <v>258</v>
      </c>
    </row>
    <row r="20" ht="15" customHeight="1">
      <c r="B20" t="s">
        <v>512</v>
      </c>
      <c r="E20" s="1">
        <f>'Footing STRESS DIAGRAM'!C4</f>
        <v>1.2999999999999998</v>
      </c>
      <c r="F20" s="2" t="s">
        <v>63</v>
      </c>
    </row>
    <row r="21" ht="14.25" customHeight="1">
      <c r="B21" t="s">
        <v>513</v>
      </c>
      <c r="E21" s="1">
        <f>(D5-E16-E20)*E19/(D5-E16)</f>
        <v>91.22440549375919</v>
      </c>
      <c r="F21" s="1" t="s">
        <v>258</v>
      </c>
    </row>
    <row r="22" ht="14.25" customHeight="1">
      <c r="B22" t="s">
        <v>514</v>
      </c>
      <c r="E22" s="1">
        <f>(E19+E21)/2</f>
        <v>114.94275092213658</v>
      </c>
      <c r="F22" s="1" t="s">
        <v>258</v>
      </c>
    </row>
    <row r="23" ht="14.25" customHeight="1">
      <c r="B23" t="s">
        <v>515</v>
      </c>
      <c r="E23" s="1">
        <f>E20*1</f>
        <v>1.2999999999999998</v>
      </c>
      <c r="F23" s="1" t="s">
        <v>367</v>
      </c>
    </row>
    <row r="24" ht="25.5" customHeight="1">
      <c r="B24" t="s">
        <v>516</v>
      </c>
      <c r="E24" s="1">
        <f>E20/3*(E21+2*E19)/(E19+E21)</f>
        <v>0.6947089947089946</v>
      </c>
      <c r="F24" s="2" t="s">
        <v>63</v>
      </c>
    </row>
    <row r="25">
      <c r="B25" t="s">
        <v>517</v>
      </c>
      <c r="E25" s="1">
        <f>E22*E23*E24</f>
        <v>103.80729182486502</v>
      </c>
      <c r="F25" s="1" t="s">
        <v>301</v>
      </c>
    </row>
    <row r="26">
      <c r="B26" t="s">
        <v>518</v>
      </c>
      <c r="E26" t="s">
        <f>'STEEL IN PIER'!D16</f>
        <v>405</v>
      </c>
    </row>
    <row r="27">
      <c r="B27" t="s">
        <v>519</v>
      </c>
      <c r="E27">
        <v>10</v>
      </c>
      <c r="F27" t="s">
        <v>210</v>
      </c>
    </row>
    <row r="28">
      <c r="B28" t="s">
        <v>63</v>
      </c>
      <c r="E28" s="1">
        <f>280/(3*E27)</f>
        <v>9.333333333333334</v>
      </c>
    </row>
    <row r="29">
      <c r="B29" t="s">
        <v>520</v>
      </c>
      <c r="E29">
        <v>200</v>
      </c>
    </row>
    <row r="30">
      <c r="B30" t="s">
        <v>521</v>
      </c>
      <c r="E30" s="2">
        <f>(E28*E27)/(E27*E28+E29)</f>
        <v>0.3181818181818182</v>
      </c>
    </row>
    <row r="31">
      <c r="B31" t="s">
        <v>522</v>
      </c>
      <c r="E31" s="2">
        <f>1-(E30/3)</f>
        <v>0.8939393939393939</v>
      </c>
    </row>
    <row r="32">
      <c r="B32" t="s">
        <v>151</v>
      </c>
      <c r="E32" s="2">
        <f>0.5*E27*E31*E30</f>
        <v>1.4221763085399448</v>
      </c>
    </row>
    <row r="33">
      <c r="B33" t="s">
        <v>523</v>
      </c>
      <c r="E33" s="4">
        <f>SQRT((E25*1000*1000)/(E32*1000))</f>
        <v>270.170054715077</v>
      </c>
      <c r="F33" t="s">
        <v>208</v>
      </c>
    </row>
    <row r="34">
      <c r="B34" t="s">
        <v>524</v>
      </c>
      <c r="E34" s="4">
        <f>'STABILITY CHECK FOR PIER'!J52*1000</f>
        <v>1000</v>
      </c>
      <c r="F34" t="s">
        <v>208</v>
      </c>
    </row>
    <row r="35">
      <c r="B35" t="s">
        <v>525</v>
      </c>
      <c r="E35" s="4">
        <v>50</v>
      </c>
      <c r="F35" t="s">
        <v>208</v>
      </c>
    </row>
    <row r="36">
      <c r="B36" t="s">
        <v>526</v>
      </c>
      <c r="E36" s="4">
        <v>25</v>
      </c>
      <c r="F36" t="s">
        <v>208</v>
      </c>
    </row>
    <row r="37">
      <c r="B37" t="s">
        <v>527</v>
      </c>
      <c r="E37" s="4">
        <f>E34-E35-E36/2</f>
        <v>937.5</v>
      </c>
      <c r="F37" t="s">
        <v>208</v>
      </c>
    </row>
    <row r="38">
      <c r="B38" t="s">
        <v>528</v>
      </c>
      <c r="E38">
        <f>IF(E33&gt;E37,E33,E37)</f>
        <v>937.5</v>
      </c>
      <c r="F38" t="s">
        <v>208</v>
      </c>
    </row>
    <row r="39" ht="14.25" customHeight="1">
      <c r="B39" t="s">
        <v>529</v>
      </c>
      <c r="E39" s="4">
        <f>(E25*1000*1000)/(E29*E31*E38)</f>
        <v>619.3248597008896</v>
      </c>
      <c r="F39" t="s">
        <v>435</v>
      </c>
    </row>
    <row r="40" ht="14.25" customHeight="1">
      <c r="B40" t="s">
        <v>530</v>
      </c>
      <c r="E40" s="4">
        <f>3.14*E36*E36/4</f>
        <v>490.625</v>
      </c>
      <c r="F40" t="s">
        <v>435</v>
      </c>
    </row>
    <row r="41">
      <c r="B41" t="s">
        <v>531</v>
      </c>
      <c r="E41" s="4">
        <f>(E40*1000)/E39</f>
        <v>792.1932929302293</v>
      </c>
      <c r="F41" t="s">
        <v>208</v>
      </c>
    </row>
    <row r="42">
      <c r="B42" t="s">
        <v>532</v>
      </c>
      <c r="C42" s="4">
        <f>E36</f>
        <v>25</v>
      </c>
      <c r="D42" t="s">
        <v>208</v>
      </c>
      <c r="E42" t="s">
        <v>533</v>
      </c>
    </row>
    <row r="43" ht="14.25" customHeight="1">
      <c r="B43" t="s">
        <v>534</v>
      </c>
      <c r="E43" s="4">
        <f>(0.2*1000*10)</f>
        <v>2000</v>
      </c>
      <c r="F43" t="s">
        <v>435</v>
      </c>
    </row>
    <row r="44" ht="21" customHeight="1">
      <c r="B44" t="s">
        <v>535</v>
      </c>
      <c r="E44">
        <v>20</v>
      </c>
      <c r="F44" t="s">
        <v>208</v>
      </c>
    </row>
    <row r="45" ht="14.25" customHeight="1">
      <c r="B45" t="s">
        <v>536</v>
      </c>
      <c r="E45">
        <f>3.14*E44*E44/4</f>
        <v>314</v>
      </c>
      <c r="F45" t="s">
        <v>435</v>
      </c>
    </row>
    <row r="46">
      <c r="B46" t="s">
        <v>537</v>
      </c>
      <c r="E46" s="4">
        <f>(E45*1000)/E43</f>
        <v>157</v>
      </c>
      <c r="F46" t="s">
        <v>208</v>
      </c>
    </row>
    <row r="47">
      <c r="B47" t="s">
        <v>532</v>
      </c>
      <c r="C47">
        <f>E44</f>
        <v>20</v>
      </c>
      <c r="D47" t="s">
        <v>208</v>
      </c>
      <c r="E47">
        <f>ROUNDDOWN(E46,-1)</f>
        <v>150</v>
      </c>
      <c r="F47" t="s">
        <v>208</v>
      </c>
    </row>
    <row r="48"/>
    <row r="49" ht="25.5" customHeight="1">
      <c r="B49" t="s">
        <v>538</v>
      </c>
      <c r="C49">
        <v>12</v>
      </c>
      <c r="D49" t="s">
        <v>208</v>
      </c>
      <c r="E49">
        <v>150</v>
      </c>
      <c r="F49" t="s">
        <v>208</v>
      </c>
    </row>
    <row r="50" ht="25.5" customHeight="1">
      <c r="B50" t="s">
        <v>539</v>
      </c>
      <c r="C50">
        <v>12</v>
      </c>
      <c r="D50" t="s">
        <v>208</v>
      </c>
      <c r="E50">
        <v>150</v>
      </c>
      <c r="F50" t="s">
        <v>208</v>
      </c>
    </row>
    <row r="51"/>
    <row r="52" ht="14.25" customHeight="1">
      <c r="A52" t="s">
        <v>540</v>
      </c>
      <c r="C52" t="s">
        <v>541</v>
      </c>
    </row>
    <row r="53">
      <c r="B53" t="s">
        <v>542</v>
      </c>
      <c r="E53">
        <f>E38</f>
        <v>937.5</v>
      </c>
      <c r="F53" t="s">
        <v>208</v>
      </c>
    </row>
    <row r="54">
      <c r="B54" t="s">
        <v>543</v>
      </c>
      <c r="E54" s="1">
        <f>E20-E53/1000</f>
        <v>0.3624999999999998</v>
      </c>
      <c r="F54" t="s">
        <v>63</v>
      </c>
    </row>
    <row r="55" ht="14.25" customHeight="1">
      <c r="B55" t="s">
        <v>511</v>
      </c>
      <c r="E55" s="1">
        <f>E19</f>
        <v>138.66109635051396</v>
      </c>
      <c r="F55" s="1" t="s">
        <v>258</v>
      </c>
    </row>
    <row r="56" ht="14.25" customHeight="1">
      <c r="B56" t="s">
        <v>544</v>
      </c>
      <c r="E56" s="1">
        <f>E55/('[2]STRESS DIAGRAM'!D18-'[2]STRESS DIAGRAM'!B21)*(-'FOOTING DESIGN'!E54+'[2]STRESS DIAGRAM'!D18-'[2]STRESS DIAGRAM'!B21)</f>
        <v>124.69869428744138</v>
      </c>
      <c r="F56" s="1" t="s">
        <v>258</v>
      </c>
    </row>
    <row r="57" ht="14.25" customHeight="1">
      <c r="B57" t="s">
        <v>514</v>
      </c>
      <c r="E57" s="1">
        <f>(E55+E56)/2</f>
        <v>131.67989531897769</v>
      </c>
      <c r="F57" s="1" t="s">
        <v>258</v>
      </c>
    </row>
    <row r="58">
      <c r="B58" t="s">
        <v>545</v>
      </c>
      <c r="E58" s="1">
        <f>E57*E54</f>
        <v>47.73396205312939</v>
      </c>
      <c r="F58" t="s">
        <v>182</v>
      </c>
    </row>
    <row r="59">
      <c r="B59" t="s">
        <v>546</v>
      </c>
      <c r="C59" t="s">
        <v>547</v>
      </c>
    </row>
    <row r="60" ht="14.25" customHeight="1">
      <c r="B60" t="s">
        <v>548</v>
      </c>
      <c r="E60" s="1">
        <f>E58*1000/E53/1000</f>
        <v>0.05091622619000469</v>
      </c>
      <c r="F60" s="1" t="s">
        <v>210</v>
      </c>
    </row>
    <row r="61">
      <c r="B61" t="s">
        <v>549</v>
      </c>
      <c r="C61" t="s">
        <v>550</v>
      </c>
      <c r="E61" s="1">
        <f>100*E39/(1000*E38)</f>
        <v>0.0660613183680949</v>
      </c>
    </row>
    <row r="62" ht="14.25" customHeight="1">
      <c r="B62" t="s">
        <v>551</v>
      </c>
      <c r="E62" s="1">
        <v>0.23</v>
      </c>
      <c r="F62" s="1" t="s">
        <v>210</v>
      </c>
    </row>
    <row r="63">
      <c r="B63" t="s">
        <v>552</v>
      </c>
    </row>
    <row r="64" ht="14.25" customHeight="1">
      <c r="B64" t="s">
        <v>553</v>
      </c>
      <c r="E64" s="1">
        <f>E62</f>
        <v>0.23</v>
      </c>
      <c r="F64" s="1" t="s">
        <v>210</v>
      </c>
    </row>
    <row r="65" ht="26.25" customHeight="1">
      <c r="D65" t="s">
        <v>554</v>
      </c>
    </row>
    <row r="66" ht="21" customHeight="1">
      <c r="B66" t="s">
        <v>555</v>
      </c>
      <c r="E66">
        <v>16</v>
      </c>
      <c r="F66" t="s">
        <v>208</v>
      </c>
    </row>
    <row r="67" ht="14.25" customHeight="1">
      <c r="B67" t="s">
        <v>536</v>
      </c>
      <c r="E67" s="4">
        <f>3.14*E66*E66/4</f>
        <v>200.96</v>
      </c>
      <c r="F67" t="s">
        <v>435</v>
      </c>
    </row>
    <row r="68">
      <c r="B68" t="s">
        <v>556</v>
      </c>
      <c r="E68" s="4">
        <f>2*E67*E29*E38/(E58*1000)</f>
        <v>1578.7501552065166</v>
      </c>
      <c r="F68" t="s">
        <v>208</v>
      </c>
    </row>
    <row r="69">
      <c r="B69" t="s">
        <v>532</v>
      </c>
      <c r="C69">
        <f>E66</f>
        <v>16</v>
      </c>
      <c r="D69" t="s">
        <v>208</v>
      </c>
      <c r="E69" t="s">
        <v>533</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63</v>
      </c>
    </row>
    <row r="4">
      <c r="C4" s="1">
        <f>(D18-D1)/2</f>
        <v>1.2999999999999998</v>
      </c>
      <c r="D4" t="s">
        <v>63</v>
      </c>
    </row>
    <row r="18">
      <c r="D18" s="1">
        <f>'FOOTING DESIGN'!D5</f>
        <v>3.8</v>
      </c>
      <c r="E18" t="s">
        <v>63</v>
      </c>
    </row>
    <row r="21">
      <c r="B21" s="1">
        <f>'FOOTING DESIGN'!E16</f>
        <v>0</v>
      </c>
      <c r="C21" t="s">
        <v>63</v>
      </c>
    </row>
    <row r="22"/>
    <row r="25">
      <c r="E25" s="1">
        <f>'FOOTING DESIGN'!E21</f>
        <v>91.22440549375919</v>
      </c>
    </row>
    <row r="26" ht="14.25" customHeight="1">
      <c r="E26" s="1" t="s">
        <v>258</v>
      </c>
      <c r="G26" s="1">
        <f>'FOOTING DESIGN'!E19</f>
        <v>138.66109635051396</v>
      </c>
      <c r="H26" s="1" t="s">
        <v>258</v>
      </c>
    </row>
    <row r="29">
      <c r="D29" t="s">
        <v>557</v>
      </c>
    </row>
    <row r="31">
      <c r="A31" t="s">
        <v>558</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559</v>
      </c>
    </row>
    <row r="3">
      <c r="A3" t="s">
        <v>560</v>
      </c>
    </row>
    <row r="5">
      <c r="A5" t="s">
        <v>561</v>
      </c>
    </row>
    <row r="7">
      <c r="A7" t="s">
        <v>562</v>
      </c>
    </row>
    <row r="9">
      <c r="A9" t="s">
        <v>563</v>
      </c>
    </row>
    <row r="11">
      <c r="A11" t="s">
        <v>564</v>
      </c>
      <c r="B11">
        <v>3.6</v>
      </c>
      <c r="C11" t="s">
        <v>565</v>
      </c>
    </row>
    <row r="13">
      <c r="A13" t="s">
        <v>564</v>
      </c>
      <c r="B13">
        <v>5.3</v>
      </c>
      <c r="C13" t="s">
        <v>70</v>
      </c>
    </row>
    <row r="14">
      <c r="A14" t="s">
        <v>566</v>
      </c>
    </row>
    <row r="16">
      <c r="A16" t="s">
        <v>562</v>
      </c>
    </row>
    <row r="18">
      <c r="A18" t="s">
        <v>567</v>
      </c>
    </row>
    <row r="19">
      <c r="A19" t="s">
        <v>568</v>
      </c>
    </row>
    <row r="20">
      <c r="A20" t="s">
        <v>569</v>
      </c>
    </row>
    <row r="21">
      <c r="A21" t="s">
        <v>570</v>
      </c>
    </row>
    <row r="22">
      <c r="A22" t="s">
        <v>571</v>
      </c>
    </row>
    <row r="23">
      <c r="A23" t="s">
        <v>572</v>
      </c>
    </row>
    <row r="24">
      <c r="A24" t="s">
        <v>573</v>
      </c>
    </row>
    <row r="25">
      <c r="A25" t="s">
        <v>574</v>
      </c>
    </row>
    <row r="26">
      <c r="A26" t="s">
        <v>575</v>
      </c>
    </row>
    <row r="27">
      <c r="B27" t="s">
        <v>576</v>
      </c>
    </row>
    <row r="29">
      <c r="A29" t="s">
        <v>577</v>
      </c>
      <c r="B29" t="s">
        <v>564</v>
      </c>
      <c r="C29" s="1">
        <v>7</v>
      </c>
      <c r="D29" t="s">
        <v>564</v>
      </c>
      <c r="E29">
        <v>0.7</v>
      </c>
    </row>
    <row r="30">
      <c r="A30" t="s">
        <v>578</v>
      </c>
      <c r="C30" s="9">
        <v>10</v>
      </c>
    </row>
    <row r="31">
      <c r="A31" t="s">
        <v>579</v>
      </c>
      <c r="C31">
        <v>2.4</v>
      </c>
    </row>
    <row r="33">
      <c r="A33" t="s">
        <v>580</v>
      </c>
      <c r="B33" t="s">
        <v>581</v>
      </c>
      <c r="D33" t="s">
        <v>582</v>
      </c>
    </row>
    <row r="35">
      <c r="A35" t="s">
        <v>583</v>
      </c>
      <c r="B35" t="s">
        <v>564</v>
      </c>
      <c r="C35">
        <v>10</v>
      </c>
      <c r="D35" t="s">
        <v>564</v>
      </c>
      <c r="E35" t="s">
        <v>584</v>
      </c>
    </row>
    <row r="36">
      <c r="A36">
        <v>2</v>
      </c>
      <c r="C36">
        <v>2</v>
      </c>
    </row>
    <row r="37">
      <c r="A37" t="s">
        <v>585</v>
      </c>
      <c r="C37" t="s">
        <v>586</v>
      </c>
      <c r="D37" t="s">
        <v>126</v>
      </c>
      <c r="E37">
        <v>1</v>
      </c>
    </row>
    <row r="38" ht="15" customHeight="1">
      <c r="A38" t="s">
        <v>587</v>
      </c>
      <c r="B38">
        <f>2.4*4*0.5+1</f>
        <v>5.8</v>
      </c>
      <c r="C38" t="s">
        <v>70</v>
      </c>
    </row>
    <row r="39">
      <c r="A39" t="s">
        <v>588</v>
      </c>
    </row>
    <row r="41">
      <c r="A41" t="s">
        <v>589</v>
      </c>
    </row>
    <row r="42">
      <c r="A42" t="s">
        <v>590</v>
      </c>
    </row>
    <row r="43">
      <c r="A43" t="s">
        <v>591</v>
      </c>
    </row>
    <row r="44">
      <c r="A44" t="s">
        <v>592</v>
      </c>
    </row>
    <row r="45">
      <c r="A45" t="s">
        <v>593</v>
      </c>
    </row>
    <row r="46">
      <c r="A46" t="s">
        <v>594</v>
      </c>
    </row>
    <row r="47">
      <c r="A47" t="s">
        <v>595</v>
      </c>
    </row>
    <row r="48">
      <c r="A48" t="s">
        <v>596</v>
      </c>
    </row>
    <row r="49">
      <c r="A49" t="s">
        <v>597</v>
      </c>
    </row>
    <row r="50">
      <c r="A50" t="s">
        <v>598</v>
      </c>
    </row>
    <row r="51">
      <c r="A51" t="s">
        <v>599</v>
      </c>
    </row>
    <row r="52">
      <c r="A52" t="s">
        <v>600</v>
      </c>
    </row>
    <row r="53">
      <c r="A53" t="s">
        <v>601</v>
      </c>
    </row>
    <row r="54">
      <c r="A54" t="s">
        <v>602</v>
      </c>
    </row>
    <row r="56">
      <c r="A56" t="s">
        <v>61</v>
      </c>
      <c r="B56">
        <v>79.63</v>
      </c>
      <c r="D56" t="s">
        <v>564</v>
      </c>
      <c r="E56" s="1">
        <f>79.63/5.3/6.695</f>
        <v>2.244141643298998</v>
      </c>
      <c r="F56" t="s">
        <v>603</v>
      </c>
    </row>
    <row r="57">
      <c r="B57" t="s">
        <v>604</v>
      </c>
    </row>
    <row r="58">
      <c r="A58" t="s">
        <v>605</v>
      </c>
    </row>
    <row r="59" ht="32.25" customHeight="1">
      <c r="B59" t="s">
        <v>606</v>
      </c>
    </row>
    <row r="61" ht="15.75" customHeight="1">
      <c r="B61" t="s">
        <v>607</v>
      </c>
    </row>
    <row r="62">
      <c r="C62" t="s">
        <v>31</v>
      </c>
      <c r="D62" s="1">
        <f>2.24*3*1.5*1/10</f>
        <v>1.0080000000000002</v>
      </c>
      <c r="E62" t="s">
        <v>608</v>
      </c>
    </row>
    <row r="63" ht="15.75" customHeight="1">
      <c r="B63" t="s">
        <v>609</v>
      </c>
    </row>
    <row r="64">
      <c r="C64" t="s">
        <v>31</v>
      </c>
      <c r="D64">
        <f>2.24*3-1.01</f>
        <v>5.710000000000001</v>
      </c>
      <c r="E64" t="s">
        <v>608</v>
      </c>
    </row>
    <row r="66">
      <c r="A66" t="s">
        <v>610</v>
      </c>
    </row>
    <row r="67">
      <c r="A67" t="s">
        <v>611</v>
      </c>
    </row>
    <row r="68">
      <c r="A68" t="s">
        <v>612</v>
      </c>
      <c r="B68" t="s">
        <v>613</v>
      </c>
    </row>
    <row r="69">
      <c r="A69" t="s">
        <v>614</v>
      </c>
      <c r="B69" t="s">
        <v>615</v>
      </c>
    </row>
    <row r="70">
      <c r="A70" t="s">
        <v>616</v>
      </c>
      <c r="B70" t="s">
        <v>617</v>
      </c>
    </row>
    <row r="71">
      <c r="A71" t="s">
        <v>618</v>
      </c>
      <c r="B71" t="s">
        <v>619</v>
      </c>
    </row>
    <row r="72">
      <c r="A72" t="s">
        <v>620</v>
      </c>
      <c r="B72" t="s">
        <v>621</v>
      </c>
      <c r="C72" t="s">
        <v>622</v>
      </c>
    </row>
    <row r="73">
      <c r="A73" t="s">
        <v>623</v>
      </c>
    </row>
    <row r="74">
      <c r="A74" t="s">
        <v>624</v>
      </c>
    </row>
    <row r="75">
      <c r="A75" t="s">
        <v>564</v>
      </c>
      <c r="B75">
        <v>1.9</v>
      </c>
      <c r="C75" t="s">
        <v>70</v>
      </c>
    </row>
    <row r="76">
      <c r="A76" t="s">
        <v>625</v>
      </c>
    </row>
    <row r="77">
      <c r="A77" t="s">
        <v>626</v>
      </c>
    </row>
    <row r="78">
      <c r="A78" t="s">
        <v>627</v>
      </c>
      <c r="D78" t="s">
        <v>628</v>
      </c>
    </row>
    <row r="79">
      <c r="A79" t="s">
        <v>629</v>
      </c>
      <c r="D79" t="s">
        <v>630</v>
      </c>
    </row>
    <row r="80">
      <c r="A80" t="s">
        <v>631</v>
      </c>
      <c r="C80" t="s">
        <v>126</v>
      </c>
      <c r="D80">
        <v>1.9</v>
      </c>
    </row>
    <row r="81">
      <c r="A81" t="s">
        <v>632</v>
      </c>
      <c r="B81" t="s">
        <v>633</v>
      </c>
    </row>
    <row r="82">
      <c r="A82" t="s">
        <v>598</v>
      </c>
    </row>
    <row r="83">
      <c r="A83" t="s">
        <v>599</v>
      </c>
    </row>
    <row r="84">
      <c r="A84" t="s">
        <v>600</v>
      </c>
    </row>
    <row r="85">
      <c r="A85" t="s">
        <v>601</v>
      </c>
    </row>
    <row r="86">
      <c r="A86" t="s">
        <v>602</v>
      </c>
    </row>
    <row r="87">
      <c r="A87" t="s">
        <v>61</v>
      </c>
      <c r="B87">
        <v>79.63</v>
      </c>
      <c r="D87" t="s">
        <v>564</v>
      </c>
      <c r="E87" s="1">
        <f>79.63/5.3/1.9</f>
        <v>7.907646474677259</v>
      </c>
      <c r="F87" t="s">
        <v>603</v>
      </c>
    </row>
    <row r="88">
      <c r="B88" t="s">
        <v>634</v>
      </c>
    </row>
    <row r="89">
      <c r="A89" t="s">
        <v>605</v>
      </c>
    </row>
    <row r="90" ht="32.25" customHeight="1">
      <c r="B90" t="s">
        <v>606</v>
      </c>
    </row>
    <row r="91" ht="15.75" customHeight="1">
      <c r="B91" t="s">
        <v>635</v>
      </c>
    </row>
    <row r="92">
      <c r="C92" t="s">
        <v>31</v>
      </c>
      <c r="D92" s="1">
        <f>7.91*3*1.5*1/10</f>
        <v>3.5595</v>
      </c>
      <c r="E92" t="s">
        <v>608</v>
      </c>
    </row>
    <row r="93" ht="15.75" customHeight="1">
      <c r="B93" t="s">
        <v>636</v>
      </c>
    </row>
    <row r="94">
      <c r="C94" t="s">
        <v>31</v>
      </c>
      <c r="D94">
        <f>7.91*3-3.56</f>
        <v>20.17</v>
      </c>
      <c r="E94" t="s">
        <v>608</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637</v>
      </c>
    </row>
    <row r="2">
      <c r="A2" t="s">
        <v>638</v>
      </c>
    </row>
    <row r="3">
      <c r="A3" t="s">
        <v>639</v>
      </c>
      <c r="C3" s="1">
        <f>'[6]STABILITY CHECK FOR PIER'!H27</f>
        <v>0.75</v>
      </c>
      <c r="D3" t="s">
        <v>177</v>
      </c>
      <c r="E3" s="1">
        <f>'[6]STABILITY CHECK ABUTMENT'!F4</f>
        <v>8.4</v>
      </c>
      <c r="F3" t="s">
        <v>640</v>
      </c>
      <c r="G3">
        <v>2.4</v>
      </c>
      <c r="H3" t="s">
        <v>31</v>
      </c>
      <c r="I3" s="1">
        <f>C3*E3*G3</f>
        <v>15.120000000000001</v>
      </c>
      <c r="J3" t="s">
        <v>608</v>
      </c>
    </row>
    <row r="4">
      <c r="A4" t="s">
        <v>641</v>
      </c>
      <c r="C4" s="1">
        <f>'[6]STABILITY CHECK FOR PIER'!H28</f>
        <v>0.075</v>
      </c>
      <c r="D4" t="s">
        <v>177</v>
      </c>
      <c r="E4" s="1">
        <f>E3</f>
        <v>8.4</v>
      </c>
      <c r="F4" t="s">
        <v>640</v>
      </c>
      <c r="G4">
        <v>2.4</v>
      </c>
      <c r="H4" t="s">
        <v>31</v>
      </c>
      <c r="I4" s="1">
        <f>C4*E4*G4</f>
        <v>1.512</v>
      </c>
      <c r="J4" t="s">
        <v>608</v>
      </c>
    </row>
    <row r="5">
      <c r="G5" t="s">
        <v>149</v>
      </c>
      <c r="I5" s="1">
        <f>SUM(I3:I4)</f>
        <v>16.632</v>
      </c>
      <c r="J5" t="s">
        <v>608</v>
      </c>
    </row>
    <row r="6">
      <c r="A6" t="s">
        <v>642</v>
      </c>
      <c r="E6" t="s">
        <v>31</v>
      </c>
    </row>
    <row r="7">
      <c r="E7" s="1">
        <f>I5</f>
        <v>16.632</v>
      </c>
      <c r="F7" t="s">
        <v>85</v>
      </c>
      <c r="G7">
        <v>2</v>
      </c>
      <c r="H7" t="s">
        <v>31</v>
      </c>
      <c r="I7" s="1">
        <f>E7/G7</f>
        <v>8.316</v>
      </c>
      <c r="J7" t="s">
        <v>608</v>
      </c>
    </row>
    <row r="8">
      <c r="A8" t="s">
        <v>643</v>
      </c>
    </row>
    <row r="9">
      <c r="D9" t="s">
        <v>644</v>
      </c>
      <c r="E9" s="1">
        <v>82.5</v>
      </c>
      <c r="F9" t="s">
        <v>177</v>
      </c>
      <c r="G9">
        <v>1.1375</v>
      </c>
      <c r="H9" t="s">
        <v>31</v>
      </c>
      <c r="I9" s="1">
        <f>E9*G9</f>
        <v>93.84375</v>
      </c>
      <c r="J9" t="s">
        <v>608</v>
      </c>
    </row>
    <row r="10">
      <c r="A10" t="s">
        <v>645</v>
      </c>
    </row>
    <row r="11">
      <c r="A11" t="s">
        <v>646</v>
      </c>
    </row>
    <row r="12">
      <c r="A12" t="s">
        <v>647</v>
      </c>
      <c r="D12" t="s">
        <v>648</v>
      </c>
      <c r="E12">
        <v>6.695</v>
      </c>
      <c r="F12" t="s">
        <v>70</v>
      </c>
    </row>
    <row r="13">
      <c r="A13" t="s">
        <v>649</v>
      </c>
    </row>
    <row r="14">
      <c r="A14" t="s">
        <v>650</v>
      </c>
      <c r="D14" t="s">
        <v>644</v>
      </c>
      <c r="E14" s="1">
        <f>I9</f>
        <v>93.84375</v>
      </c>
      <c r="F14" t="s">
        <v>85</v>
      </c>
      <c r="G14">
        <f>E12</f>
        <v>6.695</v>
      </c>
      <c r="H14" t="s">
        <v>31</v>
      </c>
      <c r="I14" s="1">
        <f>E14/G14</f>
        <v>14.016990291262136</v>
      </c>
      <c r="J14" t="s">
        <v>608</v>
      </c>
    </row>
    <row r="15">
      <c r="B15" t="s">
        <v>651</v>
      </c>
    </row>
    <row r="16">
      <c r="A16" t="s">
        <v>652</v>
      </c>
      <c r="D16" s="1">
        <f>I7</f>
        <v>8.316</v>
      </c>
      <c r="E16" t="s">
        <v>126</v>
      </c>
      <c r="F16" s="1">
        <f>I14</f>
        <v>14.016990291262136</v>
      </c>
      <c r="H16" t="s">
        <v>31</v>
      </c>
      <c r="I16" s="1">
        <f>D16+F16</f>
        <v>22.332990291262135</v>
      </c>
      <c r="J16" t="s">
        <v>608</v>
      </c>
    </row>
    <row r="17">
      <c r="A17" t="s">
        <v>653</v>
      </c>
      <c r="I17" t="s">
        <v>654</v>
      </c>
    </row>
    <row r="18">
      <c r="A18" t="s">
        <v>655</v>
      </c>
      <c r="D18">
        <f>C3*100-2.5-2.5/2</f>
        <v>71.25</v>
      </c>
      <c r="E18" t="s">
        <v>656</v>
      </c>
    </row>
    <row r="19">
      <c r="A19" t="s">
        <v>657</v>
      </c>
    </row>
    <row r="20">
      <c r="A20" t="s">
        <v>658</v>
      </c>
      <c r="D20" t="s">
        <v>31</v>
      </c>
      <c r="E20">
        <f>D18-75/2</f>
        <v>33.75</v>
      </c>
      <c r="F20" t="s">
        <v>656</v>
      </c>
      <c r="G20" t="s">
        <v>31</v>
      </c>
      <c r="H20" s="1">
        <f>E20/100</f>
        <v>0.3375</v>
      </c>
      <c r="I20" t="s">
        <v>70</v>
      </c>
    </row>
    <row r="21" ht="28.5" customHeight="1">
      <c r="A21" t="s">
        <v>659</v>
      </c>
      <c r="C21" s="1">
        <f>I16</f>
        <v>22.332990291262135</v>
      </c>
      <c r="D21" t="s">
        <v>69</v>
      </c>
      <c r="E21" s="1">
        <f>H20</f>
        <v>0.3375</v>
      </c>
      <c r="H21" s="1">
        <f>ROUNDUP(C21*E21,2)</f>
        <v>7.54</v>
      </c>
      <c r="I21" t="s">
        <v>660</v>
      </c>
    </row>
    <row r="22" ht="28.5" customHeight="1">
      <c r="B22" t="s">
        <v>31</v>
      </c>
      <c r="C22" s="1">
        <f>H21</f>
        <v>7.54</v>
      </c>
      <c r="D22" t="s">
        <v>69</v>
      </c>
      <c r="E22" s="1">
        <v>10</v>
      </c>
      <c r="F22" t="s">
        <v>31</v>
      </c>
      <c r="G22">
        <f>ROUNDUP(C22*10,2)</f>
        <v>75.4</v>
      </c>
      <c r="H22" t="s">
        <v>661</v>
      </c>
    </row>
    <row r="23">
      <c r="A23" t="s">
        <v>662</v>
      </c>
    </row>
    <row r="24">
      <c r="B24" t="s">
        <v>663</v>
      </c>
      <c r="E24" s="1">
        <f>G22</f>
        <v>75.4</v>
      </c>
      <c r="F24" s="1" t="s">
        <v>301</v>
      </c>
    </row>
    <row r="25">
      <c r="B25" t="s">
        <v>518</v>
      </c>
      <c r="E25" t="s">
        <v>664</v>
      </c>
    </row>
    <row r="26">
      <c r="B26" t="s">
        <v>519</v>
      </c>
      <c r="E26">
        <v>10</v>
      </c>
      <c r="F26" t="s">
        <v>210</v>
      </c>
    </row>
    <row r="27">
      <c r="B27" t="s">
        <v>63</v>
      </c>
      <c r="E27" s="1">
        <f>280/(3*E26)</f>
        <v>9.333333333333334</v>
      </c>
    </row>
    <row r="28">
      <c r="B28" t="s">
        <v>520</v>
      </c>
      <c r="E28">
        <v>200</v>
      </c>
    </row>
    <row r="29">
      <c r="B29" t="s">
        <v>521</v>
      </c>
      <c r="E29" s="2">
        <f>(E27*E26)/(E26*E27+E28)</f>
        <v>0.3181818181818182</v>
      </c>
    </row>
    <row r="30">
      <c r="B30" t="s">
        <v>522</v>
      </c>
      <c r="E30" s="2">
        <f>1-(E29/3)</f>
        <v>0.8939393939393939</v>
      </c>
    </row>
    <row r="31">
      <c r="B31" t="s">
        <v>151</v>
      </c>
      <c r="E31" s="2">
        <f>0.5*E26*E30*E29</f>
        <v>1.4221763085399448</v>
      </c>
    </row>
    <row r="32">
      <c r="B32" t="s">
        <v>523</v>
      </c>
      <c r="E32" s="4">
        <f>SQRT((E24*1000*1000)/(E31*1000))</f>
        <v>230.25493819187318</v>
      </c>
      <c r="F32" t="s">
        <v>208</v>
      </c>
    </row>
    <row r="33">
      <c r="B33" t="s">
        <v>524</v>
      </c>
      <c r="E33" s="4">
        <f>1200</f>
        <v>1200</v>
      </c>
      <c r="F33" t="s">
        <v>208</v>
      </c>
    </row>
    <row r="34">
      <c r="B34" t="s">
        <v>525</v>
      </c>
      <c r="E34" s="4">
        <v>50</v>
      </c>
      <c r="F34" t="s">
        <v>208</v>
      </c>
    </row>
    <row r="35">
      <c r="B35" t="s">
        <v>526</v>
      </c>
      <c r="E35" s="4">
        <v>25</v>
      </c>
      <c r="F35" t="s">
        <v>208</v>
      </c>
    </row>
    <row r="36">
      <c r="B36" t="s">
        <v>527</v>
      </c>
      <c r="E36" s="4">
        <f>E33-E34-E35/2</f>
        <v>1137.5</v>
      </c>
      <c r="F36" t="s">
        <v>208</v>
      </c>
    </row>
    <row r="37">
      <c r="B37" t="s">
        <v>528</v>
      </c>
      <c r="E37">
        <f>IF(E32&gt;E36,E32,E36)</f>
        <v>1137.5</v>
      </c>
      <c r="F37" t="s">
        <v>208</v>
      </c>
    </row>
    <row r="38" ht="14.25" customHeight="1">
      <c r="B38" t="s">
        <v>529</v>
      </c>
      <c r="E38" s="4">
        <f>(E24*1000*1000)/(E28*E30*E37)</f>
        <v>370.7506053268765</v>
      </c>
      <c r="F38" t="s">
        <v>435</v>
      </c>
    </row>
    <row r="39" ht="14.25" customHeight="1">
      <c r="B39" t="s">
        <v>530</v>
      </c>
      <c r="E39" s="4">
        <f>3.14*E35*E35/4</f>
        <v>490.625</v>
      </c>
      <c r="F39" t="s">
        <v>435</v>
      </c>
    </row>
    <row r="40">
      <c r="B40" t="s">
        <v>531</v>
      </c>
      <c r="E40" s="4">
        <f>(E39*1000)/E38</f>
        <v>1323.3289250261234</v>
      </c>
      <c r="F40" t="s">
        <v>208</v>
      </c>
    </row>
    <row r="41">
      <c r="B41" t="s">
        <v>532</v>
      </c>
      <c r="C41" s="4">
        <f>E35</f>
        <v>25</v>
      </c>
      <c r="D41" t="s">
        <v>208</v>
      </c>
      <c r="E41" s="4">
        <v>100</v>
      </c>
      <c r="F41" t="s">
        <v>208</v>
      </c>
      <c r="G41" t="s">
        <v>665</v>
      </c>
    </row>
    <row r="42">
      <c r="B42" t="s">
        <v>538</v>
      </c>
      <c r="C42" s="4">
        <f>C41</f>
        <v>25</v>
      </c>
      <c r="D42" t="s">
        <v>208</v>
      </c>
      <c r="E42" s="4">
        <f>E41</f>
        <v>100</v>
      </c>
      <c r="F42" t="s">
        <v>208</v>
      </c>
    </row>
    <row r="43">
      <c r="B43" t="s">
        <v>666</v>
      </c>
      <c r="C43">
        <v>16</v>
      </c>
      <c r="D43" t="s">
        <v>208</v>
      </c>
      <c r="E43" s="4">
        <f>E42</f>
        <v>100</v>
      </c>
      <c r="F43" t="s">
        <v>208</v>
      </c>
    </row>
    <row r="44">
      <c r="A44" t="s">
        <v>667</v>
      </c>
    </row>
    <row r="45">
      <c r="A45" t="s">
        <v>668</v>
      </c>
    </row>
    <row r="46">
      <c r="A46" t="s">
        <v>669</v>
      </c>
      <c r="C46">
        <v>0.975</v>
      </c>
      <c r="D46" t="s">
        <v>177</v>
      </c>
      <c r="E46">
        <v>15</v>
      </c>
      <c r="F46" t="s">
        <v>640</v>
      </c>
      <c r="G46">
        <v>2.4</v>
      </c>
      <c r="H46" t="s">
        <v>31</v>
      </c>
      <c r="I46" s="1">
        <f>C46*E46*G46</f>
        <v>35.1</v>
      </c>
      <c r="J46" t="s">
        <v>608</v>
      </c>
    </row>
    <row r="47">
      <c r="A47" t="s">
        <v>641</v>
      </c>
      <c r="C47">
        <v>0.075</v>
      </c>
      <c r="D47" t="s">
        <v>177</v>
      </c>
      <c r="E47">
        <v>12</v>
      </c>
      <c r="F47" t="s">
        <v>640</v>
      </c>
      <c r="G47">
        <v>2.4</v>
      </c>
      <c r="H47" t="s">
        <v>31</v>
      </c>
      <c r="I47" s="1">
        <f>C47*E47*G47</f>
        <v>2.1599999999999997</v>
      </c>
      <c r="J47" t="s">
        <v>608</v>
      </c>
    </row>
    <row r="48">
      <c r="G48" t="s">
        <v>149</v>
      </c>
      <c r="I48" s="1">
        <f>SUM(I46:I47)</f>
        <v>37.26</v>
      </c>
      <c r="J48" t="s">
        <v>608</v>
      </c>
    </row>
    <row r="49">
      <c r="A49" t="s">
        <v>670</v>
      </c>
      <c r="E49" t="s">
        <v>31</v>
      </c>
    </row>
    <row r="50">
      <c r="E50" s="1">
        <f>I48</f>
        <v>37.26</v>
      </c>
      <c r="F50" t="s">
        <v>85</v>
      </c>
      <c r="G50">
        <v>2</v>
      </c>
      <c r="H50" t="s">
        <v>31</v>
      </c>
      <c r="I50" s="1">
        <f>E50/G50</f>
        <v>18.63</v>
      </c>
      <c r="J50" t="s">
        <v>671</v>
      </c>
    </row>
    <row r="51">
      <c r="A51" t="s">
        <v>672</v>
      </c>
      <c r="E51" t="s">
        <v>673</v>
      </c>
      <c r="I51">
        <v>64.69</v>
      </c>
      <c r="J51" t="s">
        <v>608</v>
      </c>
    </row>
    <row r="53">
      <c r="A53" t="s">
        <v>674</v>
      </c>
    </row>
    <row r="54">
      <c r="A54" t="s">
        <v>675</v>
      </c>
      <c r="C54" t="s">
        <v>673</v>
      </c>
      <c r="D54">
        <v>5.3</v>
      </c>
      <c r="E54" t="s">
        <v>70</v>
      </c>
    </row>
    <row r="56">
      <c r="A56" t="s">
        <v>676</v>
      </c>
      <c r="E56" s="1">
        <f>I51</f>
        <v>64.69</v>
      </c>
      <c r="F56" t="s">
        <v>85</v>
      </c>
      <c r="G56">
        <f>D54</f>
        <v>5.3</v>
      </c>
      <c r="H56" t="s">
        <v>31</v>
      </c>
      <c r="I56" s="1">
        <f>E56/G56</f>
        <v>12.205660377358491</v>
      </c>
      <c r="J56" t="s">
        <v>671</v>
      </c>
    </row>
    <row r="57">
      <c r="A57" t="s">
        <v>677</v>
      </c>
      <c r="D57" s="1">
        <f>I50</f>
        <v>18.63</v>
      </c>
      <c r="E57" t="s">
        <v>126</v>
      </c>
      <c r="F57" s="1">
        <f>I56</f>
        <v>12.205660377358491</v>
      </c>
      <c r="H57" t="s">
        <v>31</v>
      </c>
      <c r="I57" s="1">
        <f>ROUNDUP((D57+F57),2)</f>
        <v>30.84</v>
      </c>
      <c r="J57" t="s">
        <v>608</v>
      </c>
    </row>
    <row r="58">
      <c r="A58" t="s">
        <v>678</v>
      </c>
      <c r="I58" t="s">
        <v>654</v>
      </c>
    </row>
    <row r="59">
      <c r="A59" t="s">
        <v>679</v>
      </c>
    </row>
    <row r="60">
      <c r="A60" t="s">
        <v>680</v>
      </c>
    </row>
    <row r="61" ht="28.5" customHeight="1">
      <c r="A61" t="s">
        <v>681</v>
      </c>
      <c r="C61" s="1">
        <f>I57</f>
        <v>30.84</v>
      </c>
      <c r="D61" t="s">
        <v>69</v>
      </c>
      <c r="E61">
        <v>0</v>
      </c>
      <c r="H61" s="1">
        <f>C61*E61</f>
        <v>0</v>
      </c>
      <c r="I61" t="s">
        <v>660</v>
      </c>
    </row>
    <row r="62">
      <c r="A62" t="s">
        <v>682</v>
      </c>
    </row>
    <row r="63">
      <c r="A63" t="s">
        <v>683</v>
      </c>
    </row>
    <row r="64">
      <c r="A64" t="s">
        <v>684</v>
      </c>
    </row>
    <row r="65">
      <c r="A65" t="s">
        <v>685</v>
      </c>
    </row>
    <row r="66">
      <c r="A66" t="s">
        <v>686</v>
      </c>
    </row>
    <row r="67">
      <c r="A67" t="s">
        <v>687</v>
      </c>
    </row>
    <row r="68">
      <c r="A68" t="s">
        <v>688</v>
      </c>
    </row>
    <row r="69">
      <c r="A69" t="s">
        <v>689</v>
      </c>
    </row>
    <row r="70" ht="14.25" customHeight="1">
      <c r="A70" t="s">
        <v>690</v>
      </c>
      <c r="F70">
        <v>250</v>
      </c>
      <c r="G70" t="s">
        <v>69</v>
      </c>
      <c r="H70">
        <v>1.2</v>
      </c>
      <c r="I70" t="s">
        <v>31</v>
      </c>
      <c r="J70">
        <f>F70*H70</f>
        <v>300</v>
      </c>
      <c r="K70" t="s">
        <v>435</v>
      </c>
    </row>
    <row r="71">
      <c r="A71" t="s">
        <v>691</v>
      </c>
    </row>
    <row r="72">
      <c r="A72" t="s">
        <v>692</v>
      </c>
    </row>
    <row r="73">
      <c r="A73" t="s">
        <v>693</v>
      </c>
    </row>
    <row r="74" ht="14.25" customHeight="1">
      <c r="A74" t="s">
        <v>694</v>
      </c>
      <c r="C74" t="s">
        <v>31</v>
      </c>
      <c r="D74">
        <f>14*491</f>
        <v>6874</v>
      </c>
      <c r="E74" t="s">
        <v>435</v>
      </c>
      <c r="F74" t="s">
        <v>695</v>
      </c>
      <c r="H74" t="s">
        <v>696</v>
      </c>
    </row>
    <row r="76">
      <c r="A76" t="s">
        <v>697</v>
      </c>
    </row>
    <row r="77" ht="14.25" customHeight="1">
      <c r="A77" t="s">
        <v>698</v>
      </c>
      <c r="C77" t="s">
        <v>31</v>
      </c>
      <c r="D77">
        <v>2814</v>
      </c>
      <c r="E77" t="s">
        <v>435</v>
      </c>
      <c r="F77" t="s">
        <v>695</v>
      </c>
      <c r="H77" t="s">
        <v>696</v>
      </c>
    </row>
    <row r="78">
      <c r="A78" t="s">
        <v>699</v>
      </c>
    </row>
    <row r="79">
      <c r="B79" t="s">
        <v>700</v>
      </c>
      <c r="C79" s="1">
        <f>I57</f>
        <v>30.84</v>
      </c>
      <c r="D79" t="s">
        <v>608</v>
      </c>
    </row>
    <row r="80">
      <c r="B80" t="s">
        <v>545</v>
      </c>
      <c r="E80" s="1">
        <f>C79*10</f>
        <v>308.4</v>
      </c>
      <c r="F80" t="s">
        <v>182</v>
      </c>
    </row>
    <row r="81">
      <c r="B81" t="s">
        <v>546</v>
      </c>
      <c r="C81" t="s">
        <v>547</v>
      </c>
    </row>
    <row r="82" ht="14.25" customHeight="1">
      <c r="B82" t="s">
        <v>548</v>
      </c>
      <c r="E82" s="1">
        <f>E80*1000/$E$37/1000</f>
        <v>0.2711208791208791</v>
      </c>
      <c r="F82" s="1" t="s">
        <v>210</v>
      </c>
    </row>
    <row r="83">
      <c r="B83" t="s">
        <v>549</v>
      </c>
      <c r="C83" t="s">
        <v>550</v>
      </c>
      <c r="E83" s="1">
        <f>100*$D$77/(1000*$E$37)</f>
        <v>0.2473846153846154</v>
      </c>
    </row>
    <row r="84" ht="14.25" customHeight="1">
      <c r="B84" t="s">
        <v>551</v>
      </c>
      <c r="E84" s="1">
        <v>0.23</v>
      </c>
      <c r="F84" s="1" t="s">
        <v>210</v>
      </c>
    </row>
    <row r="85">
      <c r="B85" t="s">
        <v>552</v>
      </c>
    </row>
    <row r="86" ht="14.25" customHeight="1">
      <c r="B86" t="s">
        <v>553</v>
      </c>
      <c r="E86" s="1">
        <f>E84</f>
        <v>0.23</v>
      </c>
      <c r="F86" s="1" t="s">
        <v>210</v>
      </c>
    </row>
    <row r="87" ht="26.25" customHeight="1">
      <c r="D87" t="s">
        <v>554</v>
      </c>
    </row>
    <row r="88" ht="21" customHeight="1">
      <c r="B88" t="s">
        <v>555</v>
      </c>
      <c r="E88">
        <v>16</v>
      </c>
      <c r="F88" t="s">
        <v>208</v>
      </c>
    </row>
    <row r="89" ht="14.25" customHeight="1">
      <c r="B89" t="s">
        <v>536</v>
      </c>
      <c r="E89" s="4">
        <f>3.14*E88*E88/4</f>
        <v>200.96</v>
      </c>
      <c r="F89" t="s">
        <v>435</v>
      </c>
    </row>
    <row r="90">
      <c r="B90" t="s">
        <v>556</v>
      </c>
      <c r="E90" s="4">
        <f>2*E89*E28*E37/(E80*1000)</f>
        <v>296.48767833981844</v>
      </c>
      <c r="F90" t="s">
        <v>208</v>
      </c>
    </row>
    <row r="91">
      <c r="B91" t="s">
        <v>532</v>
      </c>
      <c r="C91">
        <f>E88</f>
        <v>16</v>
      </c>
      <c r="D91" t="s">
        <v>208</v>
      </c>
      <c r="E91">
        <v>100</v>
      </c>
      <c r="F91" t="s">
        <v>208</v>
      </c>
      <c r="G91" t="s">
        <v>665</v>
      </c>
    </row>
    <row r="92">
      <c r="A92" t="s">
        <v>701</v>
      </c>
    </row>
    <row r="93">
      <c r="A93" t="s">
        <v>702</v>
      </c>
    </row>
    <row r="94">
      <c r="A94" t="s">
        <v>703</v>
      </c>
    </row>
    <row r="95"/>
    <row r="96">
      <c r="A96" t="s">
        <v>704</v>
      </c>
    </row>
    <row r="97">
      <c r="B97" t="s">
        <v>700</v>
      </c>
      <c r="C97">
        <v>20.3</v>
      </c>
      <c r="D97" t="s">
        <v>608</v>
      </c>
    </row>
    <row r="98">
      <c r="B98" t="s">
        <v>545</v>
      </c>
      <c r="E98" s="1">
        <f>C97*10</f>
        <v>203</v>
      </c>
      <c r="F98" t="s">
        <v>182</v>
      </c>
    </row>
    <row r="99">
      <c r="B99" t="s">
        <v>546</v>
      </c>
      <c r="C99" t="s">
        <v>547</v>
      </c>
    </row>
    <row r="100" ht="14.25" customHeight="1">
      <c r="B100" t="s">
        <v>548</v>
      </c>
      <c r="E100" s="1">
        <f>E98*1000/$E$37/1000</f>
        <v>0.17846153846153845</v>
      </c>
      <c r="F100" s="1" t="s">
        <v>210</v>
      </c>
    </row>
    <row r="101">
      <c r="B101" t="s">
        <v>549</v>
      </c>
      <c r="C101" t="s">
        <v>550</v>
      </c>
      <c r="E101" s="1">
        <f>100*$D$77/(1000*$E$37)</f>
        <v>0.2473846153846154</v>
      </c>
    </row>
    <row r="102" ht="14.25" customHeight="1">
      <c r="B102" t="s">
        <v>551</v>
      </c>
      <c r="E102" s="1">
        <v>0.23</v>
      </c>
      <c r="F102" s="1" t="s">
        <v>210</v>
      </c>
    </row>
    <row r="103">
      <c r="B103" t="s">
        <v>552</v>
      </c>
    </row>
    <row r="104" ht="14.25" customHeight="1">
      <c r="B104" t="s">
        <v>553</v>
      </c>
      <c r="E104" s="1">
        <f>E102</f>
        <v>0.23</v>
      </c>
      <c r="F104" s="1" t="s">
        <v>210</v>
      </c>
    </row>
    <row r="105" ht="26.25" customHeight="1">
      <c r="D105" t="s">
        <v>705</v>
      </c>
    </row>
    <row r="106">
      <c r="A106" t="s">
        <v>701</v>
      </c>
    </row>
    <row r="107">
      <c r="A107" t="s">
        <v>702</v>
      </c>
    </row>
    <row r="108">
      <c r="A108" t="s">
        <v>703</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706</v>
      </c>
    </row>
    <row r="2" ht="15.75" customHeight="1">
      <c r="A2" t="s">
        <v>707</v>
      </c>
    </row>
    <row r="3" ht="15.75" customHeight="1"/>
    <row r="4" ht="15.75" customHeight="1">
      <c r="A4" t="s">
        <v>708</v>
      </c>
    </row>
    <row r="5" ht="15.75" customHeight="1"/>
    <row r="6" ht="15.75" customHeight="1">
      <c r="A6" t="s">
        <v>709</v>
      </c>
      <c r="B6" t="s">
        <v>31</v>
      </c>
      <c r="C6">
        <v>0.3</v>
      </c>
      <c r="D6" t="s">
        <v>63</v>
      </c>
    </row>
    <row r="7" ht="15.75" customHeight="1">
      <c r="A7" t="s">
        <v>710</v>
      </c>
      <c r="B7" t="s">
        <v>31</v>
      </c>
      <c r="C7">
        <v>0.3</v>
      </c>
      <c r="D7" t="s">
        <v>63</v>
      </c>
    </row>
    <row r="9">
      <c r="A9" t="s">
        <v>711</v>
      </c>
    </row>
    <row r="10">
      <c r="A10" s="10" t="s">
        <v>712</v>
      </c>
      <c r="B10" t="s">
        <v>713</v>
      </c>
    </row>
    <row r="11">
      <c r="A11" s="10" t="s">
        <v>714</v>
      </c>
      <c r="B11" t="s">
        <v>715</v>
      </c>
    </row>
    <row r="12">
      <c r="A12" s="10" t="s">
        <v>716</v>
      </c>
      <c r="B12" t="s">
        <v>717</v>
      </c>
    </row>
    <row r="13">
      <c r="A13" s="10" t="s">
        <v>718</v>
      </c>
      <c r="B13" t="s">
        <v>719</v>
      </c>
    </row>
    <row r="14">
      <c r="A14" s="10" t="s">
        <v>720</v>
      </c>
      <c r="B14" t="s">
        <v>721</v>
      </c>
    </row>
    <row r="15"/>
    <row r="16">
      <c r="A16" t="s">
        <v>722</v>
      </c>
      <c r="C16" t="s">
        <v>723</v>
      </c>
    </row>
    <row r="18">
      <c r="A18" t="s">
        <v>724</v>
      </c>
      <c r="B18" t="s">
        <v>713</v>
      </c>
    </row>
    <row r="19">
      <c r="D19" t="s">
        <v>725</v>
      </c>
      <c r="E19" s="11">
        <f>VLOOKUP(span,AA27:AC39,2,0.1)</f>
        <v>80</v>
      </c>
    </row>
    <row r="20">
      <c r="E20">
        <f>VLOOKUP(span,AA27:AC39,3,0.1)</f>
        <v>3.65</v>
      </c>
    </row>
    <row r="21"/>
    <row r="22"/>
    <row r="23">
      <c r="E23" t="s">
        <v>726</v>
      </c>
    </row>
    <row r="25">
      <c r="A25">
        <v>0.3</v>
      </c>
      <c r="B25" t="s">
        <v>63</v>
      </c>
      <c r="C25" s="1">
        <f>7.6+0.375+0.375</f>
        <v>8.35</v>
      </c>
      <c r="D25" s="1" t="s">
        <v>63</v>
      </c>
      <c r="E25" t="s">
        <v>727</v>
      </c>
      <c r="F25" t="s">
        <v>710</v>
      </c>
      <c r="H25" s="12">
        <f>span</f>
        <v>8.35</v>
      </c>
      <c r="I25" s="13">
        <v>0.3</v>
      </c>
    </row>
    <row r="26">
      <c r="B26" t="s">
        <v>728</v>
      </c>
      <c r="E26" s="13">
        <v>0.3</v>
      </c>
      <c r="F26" s="13">
        <v>0.3</v>
      </c>
      <c r="I26" t="s">
        <v>729</v>
      </c>
      <c r="AA26" t="s">
        <v>730</v>
      </c>
      <c r="AB26" t="s">
        <v>731</v>
      </c>
      <c r="AC26" t="s">
        <v>732</v>
      </c>
    </row>
    <row r="27">
      <c r="AA27">
        <v>4.42</v>
      </c>
      <c r="AB27">
        <v>51</v>
      </c>
      <c r="AC27">
        <v>1.93</v>
      </c>
    </row>
    <row r="28">
      <c r="B28" t="s">
        <v>733</v>
      </c>
      <c r="C28" s="9" t="s">
        <f>CONCATENATE(E19,"*(",C25,"-",E20,"+",E26,")/",C25)</f>
        <v>734</v>
      </c>
      <c r="H28" t="s">
        <v>31</v>
      </c>
      <c r="I28" s="9">
        <f>E19*(C25-E20+1.6)/C25</f>
        <v>60.35928143712574</v>
      </c>
      <c r="J28" t="s">
        <v>735</v>
      </c>
      <c r="AA28">
        <v>5.79</v>
      </c>
      <c r="AB28">
        <v>68</v>
      </c>
      <c r="AC28">
        <v>2.895</v>
      </c>
    </row>
    <row r="29">
      <c r="B29" t="s">
        <v>736</v>
      </c>
      <c r="H29" t="s">
        <v>31</v>
      </c>
      <c r="I29" s="14">
        <v>0</v>
      </c>
      <c r="J29" t="s">
        <v>735</v>
      </c>
      <c r="AA29">
        <v>7.92</v>
      </c>
      <c r="AB29">
        <v>80</v>
      </c>
      <c r="AC29">
        <v>3.65</v>
      </c>
    </row>
    <row r="30">
      <c r="B30" t="s">
        <v>737</v>
      </c>
      <c r="H30" t="s">
        <v>31</v>
      </c>
      <c r="I30" s="14">
        <f>E19-I28</f>
        <v>19.640718562874262</v>
      </c>
      <c r="J30" t="s">
        <v>735</v>
      </c>
    </row>
    <row r="31">
      <c r="B31" t="s">
        <v>738</v>
      </c>
      <c r="D31" t="s">
        <f>CONCATENATE(ROUND(I28,1)," + ",ROUND(I29,1))</f>
        <v>739</v>
      </c>
      <c r="H31" t="s">
        <v>31</v>
      </c>
      <c r="I31" s="14">
        <f>I28+I29</f>
        <v>60.35928143712574</v>
      </c>
      <c r="J31" t="s">
        <v>735</v>
      </c>
      <c r="AA31">
        <v>9.44</v>
      </c>
      <c r="AB31">
        <v>92</v>
      </c>
      <c r="AC31">
        <v>4.4</v>
      </c>
    </row>
    <row r="32">
      <c r="B32" t="s">
        <v>740</v>
      </c>
      <c r="D32" t="s">
        <f>CONCATENATE("0.2*",E19)</f>
        <v>741</v>
      </c>
      <c r="H32" t="s">
        <v>31</v>
      </c>
      <c r="I32" s="9">
        <f>0.2*E19</f>
        <v>16</v>
      </c>
      <c r="J32" t="s">
        <v>735</v>
      </c>
      <c r="AA32">
        <v>13.4</v>
      </c>
      <c r="AB32">
        <v>100</v>
      </c>
      <c r="AC32">
        <v>5.12</v>
      </c>
    </row>
    <row r="33">
      <c r="B33" t="s">
        <v>742</v>
      </c>
      <c r="H33" t="s">
        <v>31</v>
      </c>
      <c r="I33" s="9">
        <v>485</v>
      </c>
      <c r="J33" t="s">
        <v>735</v>
      </c>
    </row>
    <row r="34"/>
    <row r="35">
      <c r="B35" t="s">
        <v>743</v>
      </c>
      <c r="H35" t="s">
        <v>31</v>
      </c>
      <c r="I35" s="1">
        <v>0</v>
      </c>
    </row>
    <row r="36">
      <c r="B36" t="s">
        <v>744</v>
      </c>
      <c r="H36" t="s">
        <v>31</v>
      </c>
      <c r="I36" s="9">
        <f>I35*(I33+I30)</f>
        <v>0</v>
      </c>
      <c r="J36" t="s">
        <v>735</v>
      </c>
    </row>
    <row r="37">
      <c r="B37" t="s">
        <v>745</v>
      </c>
      <c r="H37" t="s">
        <v>31</v>
      </c>
      <c r="I37" s="9">
        <f>MAX(I32/2+I36,I32-I36)</f>
        <v>16</v>
      </c>
      <c r="J37" t="s">
        <v>735</v>
      </c>
    </row>
    <row r="38">
      <c r="B38" t="s">
        <v>746</v>
      </c>
    </row>
    <row r="39">
      <c r="AA39">
        <f>$C$25+$A$25+($E$26-0.04)/2</f>
        <v>8.780000000000001</v>
      </c>
    </row>
    <row r="40">
      <c r="B40" t="s">
        <v>747</v>
      </c>
      <c r="F40" t="s">
        <v>748</v>
      </c>
    </row>
    <row r="41">
      <c r="C41" s="15">
        <v>2.595</v>
      </c>
      <c r="D41">
        <f>$E$44/2-C41</f>
        <v>1.605</v>
      </c>
    </row>
    <row r="42"/>
    <row r="43"/>
    <row r="44">
      <c r="E44">
        <v>8.4</v>
      </c>
      <c r="F44" t="s">
        <v>63</v>
      </c>
    </row>
    <row r="45">
      <c r="B45" t="s">
        <v>749</v>
      </c>
      <c r="H45" t="s">
        <v>31</v>
      </c>
      <c r="I45">
        <v>2.905</v>
      </c>
      <c r="J45" s="9" t="s">
        <v>63</v>
      </c>
    </row>
    <row r="46">
      <c r="B46" t="s">
        <v>750</v>
      </c>
      <c r="E46" s="9" t="s">
        <f>CONCATENATE(I45,"*","(",ROUND(I28,1)," + ",I29,")")</f>
        <v>751</v>
      </c>
      <c r="H46" t="s">
        <v>31</v>
      </c>
      <c r="I46" s="9">
        <f>I45*I28</f>
        <v>175.34371257485026</v>
      </c>
      <c r="J46" t="s">
        <v>752</v>
      </c>
    </row>
    <row r="47">
      <c r="B47" t="s">
        <v>753</v>
      </c>
      <c r="D47" s="9" t="s">
        <f>CONCATENATE(ROUND(I28,1),"*",C6,"-",ROUND(I29,1),"*",C7)</f>
        <v>754</v>
      </c>
      <c r="H47" t="s">
        <v>31</v>
      </c>
      <c r="I47" s="9">
        <f>I31*C6-I29*C7</f>
        <v>18.10778443113772</v>
      </c>
      <c r="J47" t="s">
        <v>752</v>
      </c>
    </row>
    <row r="48">
      <c r="B48" t="s">
        <v>755</v>
      </c>
      <c r="H48" t="s">
        <v>31</v>
      </c>
      <c r="I48" s="2">
        <f>I47/I31</f>
        <v>0.3</v>
      </c>
      <c r="J48" t="s">
        <v>63</v>
      </c>
    </row>
    <row r="50">
      <c r="A50" t="s">
        <v>756</v>
      </c>
      <c r="B50" t="s">
        <v>757</v>
      </c>
      <c r="AC50" t="s">
        <v>758</v>
      </c>
      <c r="AD50" t="s">
        <v>759</v>
      </c>
      <c r="AE50" t="s">
        <v>760</v>
      </c>
    </row>
    <row r="51">
      <c r="D51" t="s">
        <v>725</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63</v>
      </c>
      <c r="C57" s="1">
        <f>C25</f>
        <v>8.35</v>
      </c>
      <c r="D57" s="1" t="s">
        <v>63</v>
      </c>
      <c r="E57" s="1" t="s">
        <v>709</v>
      </c>
      <c r="F57" t="s">
        <v>710</v>
      </c>
      <c r="H57" s="1">
        <f>H25</f>
        <v>8.35</v>
      </c>
      <c r="I57" t="s">
        <v>63</v>
      </c>
      <c r="J57">
        <f>I25</f>
        <v>0.3</v>
      </c>
      <c r="K57" t="s">
        <v>63</v>
      </c>
    </row>
    <row r="58">
      <c r="B58" t="s">
        <v>728</v>
      </c>
      <c r="E58" s="12">
        <f>+E26</f>
        <v>0.3</v>
      </c>
      <c r="F58" s="12">
        <v>0.3</v>
      </c>
      <c r="I58" t="s">
        <v>729</v>
      </c>
    </row>
    <row r="59"/>
    <row r="60">
      <c r="B60" t="s">
        <v>736</v>
      </c>
      <c r="C60" s="9" t="s">
        <f>CONCATENATE(G52,"*(",C57,"-",A57,")/",C57)</f>
        <v>761</v>
      </c>
      <c r="H60" t="s">
        <v>31</v>
      </c>
      <c r="I60" s="9">
        <f>G52*(C57-F52+A57)/C57</f>
        <v>0</v>
      </c>
      <c r="J60" t="s">
        <v>735</v>
      </c>
    </row>
    <row r="61">
      <c r="B61" t="s">
        <v>733</v>
      </c>
      <c r="C61" s="14" t="s">
        <f>CONCATENATE(E51,"*(",C57,"-",E52,"+",E58,"/2)/",C57)</f>
        <v>762</v>
      </c>
      <c r="H61" t="s">
        <v>31</v>
      </c>
      <c r="I61" s="14">
        <f>-E51*(C57-E52+E58)/C57</f>
        <v>6.966467065868261</v>
      </c>
      <c r="J61" t="s">
        <v>735</v>
      </c>
    </row>
    <row r="62">
      <c r="B62" t="s">
        <v>737</v>
      </c>
      <c r="H62" t="s">
        <v>31</v>
      </c>
      <c r="I62" s="14">
        <f>E51-I61</f>
        <v>48.43353293413174</v>
      </c>
      <c r="J62" t="s">
        <v>735</v>
      </c>
    </row>
    <row r="63">
      <c r="B63" t="s">
        <v>763</v>
      </c>
      <c r="D63" t="s">
        <f>CONCATENATE(ROUND(I62,1)," + ",ROUND(I61,1))</f>
        <v>764</v>
      </c>
      <c r="H63" t="s">
        <v>31</v>
      </c>
      <c r="I63" s="14">
        <f>I62+I61</f>
        <v>55.4</v>
      </c>
      <c r="J63" t="s">
        <v>735</v>
      </c>
    </row>
    <row r="64">
      <c r="B64" t="s">
        <v>740</v>
      </c>
      <c r="D64" s="9" t="s">
        <f>CONCATENATE(0.2,"*(",G52,"+",E51,")")</f>
        <v>765</v>
      </c>
      <c r="H64" t="s">
        <v>31</v>
      </c>
      <c r="I64" s="9">
        <f>0.2*(G52+E51)</f>
        <v>11.08</v>
      </c>
      <c r="J64" t="s">
        <v>735</v>
      </c>
    </row>
    <row r="65">
      <c r="B65" t="s">
        <v>742</v>
      </c>
      <c r="H65" t="s">
        <v>31</v>
      </c>
      <c r="I65" s="9">
        <f>I33</f>
        <v>485</v>
      </c>
      <c r="J65" t="s">
        <v>735</v>
      </c>
    </row>
    <row r="66">
      <c r="B66" t="s">
        <v>743</v>
      </c>
      <c r="H66" t="s">
        <v>31</v>
      </c>
      <c r="I66" s="1">
        <v>0</v>
      </c>
    </row>
    <row r="67">
      <c r="B67" t="s">
        <v>744</v>
      </c>
      <c r="H67" t="s">
        <v>31</v>
      </c>
      <c r="I67" s="9">
        <f>I66*(I65+I62)</f>
        <v>0</v>
      </c>
      <c r="J67" t="s">
        <v>735</v>
      </c>
    </row>
    <row r="68">
      <c r="B68" t="s">
        <v>745</v>
      </c>
      <c r="H68" t="s">
        <v>31</v>
      </c>
      <c r="I68" s="9">
        <f>MAX(I64/2+I67,I64-I67)</f>
        <v>11.08</v>
      </c>
      <c r="J68" t="s">
        <v>735</v>
      </c>
    </row>
    <row r="69">
      <c r="B69" t="s">
        <v>746</v>
      </c>
    </row>
    <row r="70"/>
    <row r="71">
      <c r="B71" t="s">
        <v>766</v>
      </c>
      <c r="F71" t="s">
        <v>748</v>
      </c>
    </row>
    <row r="72">
      <c r="C72" s="17">
        <v>1.3</v>
      </c>
      <c r="D72" s="17">
        <f>E75/2-C72</f>
        <v>2.9000000000000004</v>
      </c>
    </row>
    <row r="73"/>
    <row r="74"/>
    <row r="75">
      <c r="E75">
        <f>E44</f>
        <v>8.4</v>
      </c>
      <c r="F75" t="s">
        <v>63</v>
      </c>
    </row>
    <row r="76">
      <c r="B76" t="s">
        <v>749</v>
      </c>
      <c r="H76" t="s">
        <v>31</v>
      </c>
      <c r="I76" s="1">
        <f>D72</f>
        <v>2.9000000000000004</v>
      </c>
      <c r="J76" s="9" t="s">
        <v>63</v>
      </c>
    </row>
    <row r="77">
      <c r="B77" t="s">
        <v>750</v>
      </c>
      <c r="E77" s="9" t="s">
        <f>CONCATENATE(I76,"*",ROUND(I63,1))</f>
        <v>767</v>
      </c>
      <c r="H77" t="s">
        <v>31</v>
      </c>
      <c r="I77" s="9">
        <f>I76*I63</f>
        <v>160.66000000000003</v>
      </c>
      <c r="J77" t="s">
        <v>752</v>
      </c>
    </row>
    <row r="78">
      <c r="B78" t="s">
        <v>753</v>
      </c>
      <c r="D78" s="9" t="s">
        <f>CONCATENATE(ROUND(I61,1),"*",C6,"-",ROUND(I60,1),"*",C7)</f>
        <v>768</v>
      </c>
      <c r="H78" t="s">
        <v>31</v>
      </c>
      <c r="I78" s="9">
        <f>I61*C6-I60*C7</f>
        <v>2.0899401197604783</v>
      </c>
      <c r="J78" t="s">
        <v>752</v>
      </c>
    </row>
    <row r="79">
      <c r="B79" t="s">
        <v>755</v>
      </c>
      <c r="H79" t="s">
        <v>31</v>
      </c>
      <c r="I79" s="2">
        <f>I78/I63</f>
        <v>0.037724550898203583</v>
      </c>
      <c r="J79" t="s">
        <v>63</v>
      </c>
    </row>
    <row r="80"/>
    <row r="81"/>
    <row r="82">
      <c r="A82" t="s">
        <v>769</v>
      </c>
      <c r="B82" t="s">
        <v>770</v>
      </c>
    </row>
    <row r="84">
      <c r="B84" t="s">
        <v>736</v>
      </c>
      <c r="C84" s="9" t="s">
        <f>CONCATENATE("2*",ROUND(I60,1))</f>
        <v>771</v>
      </c>
      <c r="H84" t="s">
        <v>31</v>
      </c>
      <c r="I84" s="9">
        <f>2*I60</f>
        <v>0</v>
      </c>
      <c r="J84" t="s">
        <v>735</v>
      </c>
    </row>
    <row r="85">
      <c r="B85" t="s">
        <v>733</v>
      </c>
      <c r="C85" s="9" t="s">
        <f>CONCATENATE("2*",ROUND(I61,1))</f>
        <v>772</v>
      </c>
      <c r="H85" t="s">
        <v>31</v>
      </c>
      <c r="I85" s="14">
        <f>2*I61</f>
        <v>13.932934131736522</v>
      </c>
      <c r="J85" t="s">
        <v>735</v>
      </c>
    </row>
    <row r="86">
      <c r="B86" t="s">
        <v>737</v>
      </c>
      <c r="H86" t="s">
        <v>31</v>
      </c>
      <c r="I86" s="14">
        <f>2*E51-I85</f>
        <v>96.86706586826348</v>
      </c>
      <c r="J86" t="s">
        <v>735</v>
      </c>
    </row>
    <row r="87">
      <c r="B87" t="s">
        <v>763</v>
      </c>
      <c r="D87" t="s">
        <f>CONCATENATE(ROUND(I84,1)," + ",ROUND(I85,1))</f>
        <v>773</v>
      </c>
      <c r="H87" t="s">
        <v>31</v>
      </c>
      <c r="I87" s="14">
        <f>I84+I85</f>
        <v>13.932934131736522</v>
      </c>
      <c r="J87" t="s">
        <v>735</v>
      </c>
    </row>
    <row r="88">
      <c r="B88" t="s">
        <v>774</v>
      </c>
      <c r="H88" t="s">
        <v>31</v>
      </c>
      <c r="I88" s="9">
        <f>I64</f>
        <v>11.08</v>
      </c>
      <c r="J88" t="s">
        <v>735</v>
      </c>
    </row>
    <row r="89">
      <c r="B89" t="s">
        <v>742</v>
      </c>
      <c r="H89" t="s">
        <v>31</v>
      </c>
      <c r="I89" s="9">
        <f>I33</f>
        <v>485</v>
      </c>
      <c r="J89" t="s">
        <v>735</v>
      </c>
    </row>
    <row r="90">
      <c r="B90" t="s">
        <v>743</v>
      </c>
      <c r="H90" t="s">
        <v>31</v>
      </c>
      <c r="I90" s="1">
        <v>0</v>
      </c>
    </row>
    <row r="91">
      <c r="B91" t="s">
        <v>744</v>
      </c>
      <c r="H91" t="s">
        <v>31</v>
      </c>
      <c r="I91" s="9">
        <f>I90*(I89+I86)</f>
        <v>0</v>
      </c>
      <c r="J91" t="s">
        <v>735</v>
      </c>
    </row>
    <row r="92">
      <c r="B92" t="s">
        <v>745</v>
      </c>
      <c r="H92" t="s">
        <v>31</v>
      </c>
      <c r="I92" s="9">
        <f>MAX(I88/2+I91,I88-I91)</f>
        <v>11.08</v>
      </c>
      <c r="J92" t="s">
        <v>735</v>
      </c>
    </row>
    <row r="93">
      <c r="B93" t="s">
        <v>746</v>
      </c>
    </row>
    <row r="94"/>
    <row r="95">
      <c r="B95" t="s">
        <v>775</v>
      </c>
      <c r="F95" t="s">
        <v>748</v>
      </c>
    </row>
    <row r="96">
      <c r="C96" s="17">
        <v>3.05</v>
      </c>
      <c r="D96">
        <f>E99/2-C96</f>
        <v>1.1500000000000004</v>
      </c>
    </row>
    <row r="97"/>
    <row r="98"/>
    <row r="99">
      <c r="E99">
        <f>E44</f>
        <v>8.4</v>
      </c>
      <c r="F99" t="s">
        <v>63</v>
      </c>
    </row>
    <row r="100">
      <c r="B100" t="s">
        <v>749</v>
      </c>
      <c r="H100" t="s">
        <v>31</v>
      </c>
      <c r="I100" s="1">
        <f>D96</f>
        <v>1.1500000000000004</v>
      </c>
      <c r="J100" s="9" t="s">
        <v>63</v>
      </c>
    </row>
    <row r="101">
      <c r="B101" t="s">
        <v>750</v>
      </c>
      <c r="E101" s="9" t="s">
        <f>CONCATENATE(I100,"*",ROUND(I87,1))</f>
        <v>776</v>
      </c>
      <c r="H101" t="s">
        <v>31</v>
      </c>
      <c r="I101" s="9">
        <f>I87*I100</f>
        <v>16.022874251497004</v>
      </c>
      <c r="J101" t="s">
        <v>752</v>
      </c>
    </row>
    <row r="102">
      <c r="B102" t="s">
        <v>753</v>
      </c>
      <c r="D102" s="9" t="s">
        <f>CONCATENATE(ROUND(I85,1),"*",C6,"-",ROUND(I84,1),"*",C7)</f>
        <v>777</v>
      </c>
      <c r="H102" t="s">
        <v>31</v>
      </c>
      <c r="I102" s="9">
        <f>ABS(I85*C6-I84*C7)</f>
        <v>4.179880239520957</v>
      </c>
      <c r="J102" t="s">
        <v>752</v>
      </c>
    </row>
    <row r="103">
      <c r="B103" t="s">
        <v>755</v>
      </c>
      <c r="H103" t="s">
        <v>31</v>
      </c>
      <c r="I103" s="2">
        <f>I102/I87</f>
        <v>0.3</v>
      </c>
      <c r="J103" t="s">
        <v>63</v>
      </c>
    </row>
    <row r="104"/>
    <row r="106">
      <c r="A106" t="s">
        <v>778</v>
      </c>
      <c r="B106" t="s">
        <v>779</v>
      </c>
    </row>
    <row r="108">
      <c r="B108" t="s">
        <v>736</v>
      </c>
      <c r="C108" s="9" t="s">
        <f>CONCATENATE("90% of"," 3*",ROUND(I60,1))</f>
        <v>780</v>
      </c>
      <c r="H108" t="s">
        <v>31</v>
      </c>
      <c r="I108" s="9">
        <f>0.9*3*I60</f>
        <v>0</v>
      </c>
      <c r="J108" t="s">
        <v>735</v>
      </c>
    </row>
    <row r="109">
      <c r="B109" t="s">
        <v>733</v>
      </c>
      <c r="C109" s="9" t="s">
        <f>CONCATENATE("90% of"," 3*",ROUND(I61,1))</f>
        <v>781</v>
      </c>
      <c r="H109" t="s">
        <v>31</v>
      </c>
      <c r="I109" s="14">
        <f>0.9*3*I61</f>
        <v>18.809461077844304</v>
      </c>
      <c r="J109" t="s">
        <v>735</v>
      </c>
    </row>
    <row r="110">
      <c r="B110" t="s">
        <v>737</v>
      </c>
      <c r="H110" t="s">
        <v>31</v>
      </c>
      <c r="I110" s="14">
        <f>load1*0.9*3-I109</f>
        <v>61.1105389221557</v>
      </c>
      <c r="J110" t="s">
        <v>735</v>
      </c>
    </row>
    <row r="111">
      <c r="B111" t="s">
        <v>763</v>
      </c>
      <c r="D111" t="s">
        <f>CONCATENATE(ROUND(I108,1)," + ",ROUND(I109,1))</f>
        <v>782</v>
      </c>
      <c r="I111" s="14">
        <f>I108+I109</f>
        <v>18.809461077844304</v>
      </c>
    </row>
    <row r="112">
      <c r="B112" t="s">
        <v>740</v>
      </c>
      <c r="D112" s="9" t="s">
        <f>CONCATENATE("(0.2)*",55.4,"+","0.05*",55.4)</f>
        <v>783</v>
      </c>
      <c r="H112" t="s">
        <v>31</v>
      </c>
      <c r="I112" s="9">
        <f>(0.2)*55.4+(0.05)*55.4</f>
        <v>13.85</v>
      </c>
      <c r="J112" t="s">
        <v>735</v>
      </c>
    </row>
    <row r="113">
      <c r="B113" t="s">
        <v>784</v>
      </c>
    </row>
    <row r="114">
      <c r="B114" t="s">
        <v>742</v>
      </c>
      <c r="H114" t="s">
        <v>31</v>
      </c>
      <c r="I114" s="9">
        <f>I33</f>
        <v>485</v>
      </c>
      <c r="J114" t="s">
        <v>735</v>
      </c>
    </row>
    <row r="115">
      <c r="B115" t="s">
        <v>743</v>
      </c>
      <c r="H115" t="s">
        <v>31</v>
      </c>
      <c r="I115" s="1">
        <v>0</v>
      </c>
    </row>
    <row r="116">
      <c r="B116" t="s">
        <v>744</v>
      </c>
      <c r="H116" t="s">
        <v>31</v>
      </c>
      <c r="I116" s="9">
        <f>I115*(I114+I111)</f>
        <v>0</v>
      </c>
      <c r="J116" t="s">
        <v>735</v>
      </c>
    </row>
    <row r="117">
      <c r="B117" t="s">
        <v>745</v>
      </c>
      <c r="H117" t="s">
        <v>31</v>
      </c>
      <c r="I117" s="9">
        <f>MAX(I112/2+I116,I112-I116)</f>
        <v>13.85</v>
      </c>
      <c r="J117" t="s">
        <v>735</v>
      </c>
    </row>
    <row r="118">
      <c r="B118" t="s">
        <v>746</v>
      </c>
    </row>
    <row r="119"/>
    <row r="120">
      <c r="B120" t="s">
        <v>785</v>
      </c>
      <c r="F120" t="s">
        <v>748</v>
      </c>
    </row>
    <row r="121">
      <c r="C121" s="17">
        <v>4.8</v>
      </c>
      <c r="E121">
        <f>E124/2-C121</f>
        <v>0.7000000000000002</v>
      </c>
    </row>
    <row r="122"/>
    <row r="123"/>
    <row r="124">
      <c r="E124">
        <v>11</v>
      </c>
      <c r="F124" t="s">
        <v>63</v>
      </c>
    </row>
    <row r="125">
      <c r="B125" t="s">
        <v>749</v>
      </c>
      <c r="H125" t="s">
        <v>31</v>
      </c>
      <c r="I125" s="1">
        <f>E121</f>
        <v>0.7000000000000002</v>
      </c>
      <c r="J125" s="9" t="s">
        <v>63</v>
      </c>
    </row>
    <row r="126">
      <c r="B126" t="s">
        <v>750</v>
      </c>
      <c r="E126" s="9" t="s">
        <f>CONCATENATE(I125,"*",ROUND(I111,1))</f>
        <v>786</v>
      </c>
      <c r="H126" t="s">
        <v>31</v>
      </c>
      <c r="I126" s="9">
        <f>I125*I111</f>
        <v>13.166622754491016</v>
      </c>
      <c r="J126" t="s">
        <v>752</v>
      </c>
    </row>
    <row r="127">
      <c r="B127" t="s">
        <v>753</v>
      </c>
      <c r="D127" s="9" t="s">
        <f>CONCATENATE(ROUND(I109,1),"*",C6,"-",ROUND(I108,1),"*",C7)</f>
        <v>787</v>
      </c>
      <c r="H127" t="s">
        <v>31</v>
      </c>
      <c r="I127" s="9">
        <f>ABS(I109*C6-I108*C7)</f>
        <v>5.642838323353291</v>
      </c>
      <c r="J127" t="s">
        <v>752</v>
      </c>
    </row>
    <row r="128">
      <c r="B128" t="s">
        <v>755</v>
      </c>
      <c r="H128" t="s">
        <v>31</v>
      </c>
      <c r="I128" s="2">
        <f>I127/I111</f>
        <v>0.3</v>
      </c>
      <c r="J128" t="s">
        <v>63</v>
      </c>
    </row>
    <row r="130">
      <c r="A130" t="s">
        <v>788</v>
      </c>
      <c r="B130" t="s">
        <v>789</v>
      </c>
    </row>
    <row r="132">
      <c r="B132" t="s">
        <v>736</v>
      </c>
      <c r="C132" s="9" t="s">
        <f>CONCATENATE("90% of","(",ROUND(I60,2),"+",ROUND(I29,2),")")</f>
        <v>790</v>
      </c>
      <c r="H132" t="s">
        <v>31</v>
      </c>
      <c r="I132" s="9">
        <f>0.9*(I60+I29)</f>
        <v>0</v>
      </c>
      <c r="J132" t="s">
        <v>735</v>
      </c>
    </row>
    <row r="133">
      <c r="B133" t="s">
        <v>733</v>
      </c>
      <c r="C133" s="9" t="s">
        <f>CONCATENATE("90% of","(",ROUND(I61,2),"+",ROUND(I28,2),")")</f>
        <v>791</v>
      </c>
      <c r="H133" t="s">
        <v>31</v>
      </c>
      <c r="I133" s="9">
        <f>0.9*(I61+I28)</f>
        <v>60.5931736526946</v>
      </c>
      <c r="J133" t="s">
        <v>735</v>
      </c>
    </row>
    <row r="134">
      <c r="B134" t="s">
        <v>737</v>
      </c>
      <c r="H134" t="s">
        <v>31</v>
      </c>
      <c r="I134" s="14">
        <f>(E51+E19)*0.9-I133</f>
        <v>61.26682634730541</v>
      </c>
      <c r="J134" t="s">
        <v>735</v>
      </c>
    </row>
    <row r="135">
      <c r="B135" t="s">
        <v>792</v>
      </c>
      <c r="D135" s="9" t="s">
        <f>CONCATENATE(I32," + ","5% of ",55.4)</f>
        <v>793</v>
      </c>
      <c r="H135" t="s">
        <v>31</v>
      </c>
      <c r="I135" s="9">
        <f>I32+0.05*55.4</f>
        <v>18.77</v>
      </c>
      <c r="J135" t="s">
        <v>735</v>
      </c>
    </row>
    <row r="136">
      <c r="B136" t="s">
        <v>794</v>
      </c>
    </row>
    <row r="137">
      <c r="B137" t="s">
        <v>742</v>
      </c>
      <c r="H137" t="s">
        <v>31</v>
      </c>
      <c r="I137" s="9">
        <f>I33</f>
        <v>485</v>
      </c>
      <c r="J137" t="s">
        <v>735</v>
      </c>
    </row>
    <row r="138">
      <c r="B138" t="s">
        <v>743</v>
      </c>
      <c r="H138" t="s">
        <v>31</v>
      </c>
      <c r="I138" s="1">
        <v>0</v>
      </c>
    </row>
    <row r="139">
      <c r="B139" t="s">
        <v>744</v>
      </c>
      <c r="H139" t="s">
        <v>31</v>
      </c>
      <c r="I139" s="9">
        <f>I138*(I137+I134)</f>
        <v>0</v>
      </c>
      <c r="J139" t="s">
        <v>735</v>
      </c>
    </row>
    <row r="140">
      <c r="B140" t="s">
        <v>745</v>
      </c>
      <c r="H140" t="s">
        <v>31</v>
      </c>
      <c r="I140" s="9">
        <f>MAX(I135/2+I139,I135-I139)</f>
        <v>18.77</v>
      </c>
      <c r="J140" t="s">
        <v>735</v>
      </c>
    </row>
    <row r="141">
      <c r="B141" t="s">
        <v>746</v>
      </c>
    </row>
    <row r="142"/>
    <row r="143">
      <c r="B143" t="s">
        <v>795</v>
      </c>
      <c r="F143" t="s">
        <v>748</v>
      </c>
      <c r="H143" t="s">
        <v>796</v>
      </c>
    </row>
    <row r="144">
      <c r="C144" s="15">
        <v>2.595</v>
      </c>
      <c r="D144" s="2">
        <v>2.905</v>
      </c>
      <c r="F144">
        <v>0.84</v>
      </c>
    </row>
    <row r="145"/>
    <row r="146"/>
    <row r="147">
      <c r="E147">
        <f>E99</f>
        <v>8.4</v>
      </c>
    </row>
    <row r="148">
      <c r="B148" t="s">
        <v>797</v>
      </c>
      <c r="H148" t="s">
        <v>31</v>
      </c>
      <c r="I148" s="2">
        <f>D144</f>
        <v>2.905</v>
      </c>
      <c r="J148" s="9" t="s">
        <v>63</v>
      </c>
    </row>
    <row r="149">
      <c r="B149" t="s">
        <v>798</v>
      </c>
      <c r="H149" t="s">
        <v>31</v>
      </c>
      <c r="I149" s="1">
        <f>-F144</f>
        <v>-0.84</v>
      </c>
      <c r="J149" s="9" t="s">
        <v>63</v>
      </c>
    </row>
    <row r="150">
      <c r="B150" t="s">
        <v>799</v>
      </c>
      <c r="D150" s="9" t="s">
        <f>CONCATENATE("0.9*(",ROUND(I31,1),"*",ROUND(I148,3),"-",ROUND(I63,1),"*",ROUND(I149,3),")")</f>
        <v>800</v>
      </c>
      <c r="H150" t="s">
        <v>31</v>
      </c>
      <c r="I150" s="9">
        <f>0.9*(I31*I148+I63*I149)</f>
        <v>115.92694131736523</v>
      </c>
    </row>
    <row r="151">
      <c r="B151" t="s">
        <v>801</v>
      </c>
      <c r="H151" t="s">
        <v>31</v>
      </c>
      <c r="I151" s="2">
        <f>I150/(I132+I133)</f>
        <v>1.9132013447889424</v>
      </c>
      <c r="J151" t="s">
        <v>752</v>
      </c>
    </row>
    <row r="152">
      <c r="B152" t="s">
        <v>753</v>
      </c>
      <c r="D152" s="9" t="s">
        <f>CONCATENATE(ROUND(I133,1),"*",C6,"-",ROUND(I132,1),"*",C7)</f>
        <v>802</v>
      </c>
      <c r="H152" t="s">
        <v>31</v>
      </c>
      <c r="I152" s="9">
        <f>ABS(I133*C6-I132*C7)</f>
        <v>18.17795209580838</v>
      </c>
      <c r="J152" t="s">
        <v>752</v>
      </c>
    </row>
    <row r="153">
      <c r="B153" t="s">
        <v>755</v>
      </c>
      <c r="H153" t="s">
        <v>31</v>
      </c>
      <c r="I153" s="2">
        <f>I152/(I132+I133)</f>
        <v>0.3</v>
      </c>
      <c r="J153" t="s">
        <v>63</v>
      </c>
    </row>
    <row r="154"/>
    <row r="155"/>
    <row r="156" ht="15" customHeight="1">
      <c r="A156" t="s">
        <v>803</v>
      </c>
      <c r="C156" s="14" t="s">
        <v>804</v>
      </c>
    </row>
    <row r="157"/>
    <row r="158" ht="13.5" customHeight="1"/>
    <row r="159">
      <c r="A159" t="s">
        <v>805</v>
      </c>
      <c r="C159" t="s">
        <v>806</v>
      </c>
      <c r="U159" t="s">
        <v>807</v>
      </c>
      <c r="AA159" t="s">
        <v>808</v>
      </c>
    </row>
    <row r="160">
      <c r="U160" t="s">
        <v>758</v>
      </c>
      <c r="V160" t="s">
        <v>759</v>
      </c>
      <c r="W160" t="s">
        <v>760</v>
      </c>
      <c r="AA160" t="s">
        <v>758</v>
      </c>
      <c r="AB160" t="s">
        <v>759</v>
      </c>
      <c r="AC160" t="s">
        <v>760</v>
      </c>
    </row>
    <row r="161">
      <c r="E161" s="18">
        <f>H161+C162</f>
        <v>100</v>
      </c>
      <c r="G161" t="s">
        <v>725</v>
      </c>
      <c r="H161" s="9">
        <f>IF(C162=49,51,34)</f>
        <v>51</v>
      </c>
      <c r="U161">
        <v>8.28</v>
      </c>
      <c r="V161">
        <v>49</v>
      </c>
      <c r="W161">
        <v>3.33</v>
      </c>
      <c r="AA161">
        <v>3</v>
      </c>
      <c r="AB161">
        <v>80</v>
      </c>
      <c r="AC161">
        <v>3.65</v>
      </c>
    </row>
    <row r="162">
      <c r="B162" t="s">
        <v>725</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726</v>
      </c>
      <c r="U165" s="1">
        <f>A167+C167+E168</f>
        <v>8.950000000000001</v>
      </c>
      <c r="AA165" s="1">
        <f>$C$25+$A$25+($E$26)</f>
        <v>8.950000000000001</v>
      </c>
    </row>
    <row r="166" ht="13.5" customHeight="1"/>
    <row r="167">
      <c r="A167">
        <v>0.3</v>
      </c>
      <c r="B167" t="s">
        <v>63</v>
      </c>
      <c r="C167" s="1">
        <f>H25</f>
        <v>8.35</v>
      </c>
      <c r="D167" s="1" t="s">
        <v>63</v>
      </c>
      <c r="E167" t="s">
        <v>709</v>
      </c>
      <c r="F167" t="s">
        <v>710</v>
      </c>
      <c r="H167" s="1">
        <f>C25</f>
        <v>8.35</v>
      </c>
      <c r="I167" s="1" t="s">
        <v>63</v>
      </c>
      <c r="J167" s="20">
        <v>1.6</v>
      </c>
      <c r="U167" t="s">
        <v>808</v>
      </c>
      <c r="AA167" t="s">
        <v>807</v>
      </c>
    </row>
    <row r="168">
      <c r="B168" t="s">
        <v>728</v>
      </c>
      <c r="E168" s="12">
        <v>0.3</v>
      </c>
      <c r="F168" s="12">
        <v>1.6</v>
      </c>
      <c r="I168" t="s">
        <v>729</v>
      </c>
      <c r="U168">
        <v>4.4</v>
      </c>
      <c r="V168">
        <v>34</v>
      </c>
      <c r="W168">
        <v>3.715</v>
      </c>
      <c r="AA168">
        <v>3</v>
      </c>
      <c r="AB168">
        <v>17</v>
      </c>
      <c r="AC168">
        <v>0.87</v>
      </c>
    </row>
    <row r="169">
      <c r="U169">
        <v>5.12</v>
      </c>
      <c r="V169">
        <v>51</v>
      </c>
      <c r="W169">
        <v>3.19</v>
      </c>
      <c r="AA169">
        <v>4.52</v>
      </c>
      <c r="AB169">
        <v>29</v>
      </c>
      <c r="AC169">
        <v>1.75</v>
      </c>
    </row>
    <row r="170">
      <c r="B170" t="s">
        <v>733</v>
      </c>
      <c r="C170" s="9" t="s">
        <f>CONCATENATE(C162,"*(",C167," - ",D162," + ",E168,")/",C167)</f>
        <v>809</v>
      </c>
      <c r="H170" t="s">
        <v>31</v>
      </c>
      <c r="I170" s="1">
        <f>C162*(C167-D162+E168)/C167</f>
        <v>31.219161676646703</v>
      </c>
      <c r="J170" t="s">
        <v>735</v>
      </c>
      <c r="AA170">
        <v>8.48</v>
      </c>
      <c r="AB170">
        <v>41</v>
      </c>
      <c r="AC170">
        <v>2.56</v>
      </c>
    </row>
    <row r="171">
      <c r="B171" t="s">
        <v>736</v>
      </c>
      <c r="C171" s="14" t="s">
        <f>CONCATENATE(H161,"*(",H167,"-",F164,"+",F168,")/",H167)</f>
        <v>810</v>
      </c>
      <c r="H171" t="s">
        <v>31</v>
      </c>
      <c r="I171" s="17">
        <f>H161*(H167-F164-F168)/H167</f>
        <v>21.7437125748503</v>
      </c>
      <c r="J171" t="s">
        <v>735</v>
      </c>
      <c r="AA171">
        <v>24</v>
      </c>
      <c r="AB171">
        <v>49</v>
      </c>
      <c r="AC171">
        <v>3.53</v>
      </c>
    </row>
    <row r="172" ht="13.5" customHeight="1">
      <c r="B172" t="s">
        <v>737</v>
      </c>
      <c r="H172" t="s">
        <v>31</v>
      </c>
      <c r="I172" s="14">
        <f>C162-I171</f>
        <v>27.2562874251497</v>
      </c>
      <c r="J172" t="s">
        <v>735</v>
      </c>
      <c r="U172" s="1">
        <f>F168+H167+J167</f>
        <v>11.549999999999999</v>
      </c>
    </row>
    <row r="173" ht="13.5" customHeight="1">
      <c r="B173" t="s">
        <v>811</v>
      </c>
      <c r="D173" t="s">
        <f>CONCATENATE(ROUND(I170,1)," + ",ROUND(I171,1))</f>
        <v>812</v>
      </c>
      <c r="H173" t="s">
        <v>31</v>
      </c>
      <c r="I173" s="14">
        <f>ROUND(I170+I171,0)</f>
        <v>53</v>
      </c>
      <c r="J173" t="s">
        <v>735</v>
      </c>
      <c r="AA173" s="1">
        <f>$C$25+$A$25+($E$26)</f>
        <v>8.950000000000001</v>
      </c>
    </row>
    <row r="174">
      <c r="B174" t="s">
        <v>740</v>
      </c>
      <c r="D174" t="s">
        <f>CONCATENATE("0.2*",E161)</f>
        <v>813</v>
      </c>
      <c r="H174" t="s">
        <v>31</v>
      </c>
      <c r="I174" s="9">
        <f>0.2*E161</f>
        <v>20</v>
      </c>
      <c r="J174" t="s">
        <v>735</v>
      </c>
    </row>
    <row r="175">
      <c r="B175" t="s">
        <v>742</v>
      </c>
      <c r="H175" t="s">
        <v>31</v>
      </c>
      <c r="I175" s="9">
        <f>I33</f>
        <v>485</v>
      </c>
      <c r="J175" t="s">
        <v>735</v>
      </c>
    </row>
    <row r="176">
      <c r="B176" t="s">
        <v>743</v>
      </c>
      <c r="H176" t="s">
        <v>31</v>
      </c>
      <c r="I176" s="1">
        <v>0</v>
      </c>
    </row>
    <row r="177">
      <c r="B177" t="s">
        <v>744</v>
      </c>
      <c r="H177" t="s">
        <v>31</v>
      </c>
      <c r="I177" s="9">
        <f>I176*(I175+I172)</f>
        <v>0</v>
      </c>
      <c r="J177" t="s">
        <v>735</v>
      </c>
    </row>
    <row r="178">
      <c r="B178" t="s">
        <v>745</v>
      </c>
      <c r="H178" t="s">
        <v>31</v>
      </c>
      <c r="I178" s="9">
        <f>MAX(I174/2+I177,I174-I177)</f>
        <v>20</v>
      </c>
      <c r="J178" t="s">
        <v>735</v>
      </c>
    </row>
    <row r="179">
      <c r="B179" t="s">
        <v>746</v>
      </c>
    </row>
    <row r="180"/>
    <row r="181">
      <c r="B181" t="s">
        <v>747</v>
      </c>
      <c r="F181" t="s">
        <v>748</v>
      </c>
    </row>
    <row r="182">
      <c r="C182" s="15">
        <v>2.595</v>
      </c>
      <c r="D182">
        <f>$E$44/2-C182</f>
        <v>1.605</v>
      </c>
    </row>
    <row r="183"/>
    <row r="184"/>
    <row r="185">
      <c r="E185">
        <f>E147</f>
        <v>8.4</v>
      </c>
      <c r="F185" t="s">
        <v>63</v>
      </c>
    </row>
    <row r="186">
      <c r="B186" t="s">
        <v>749</v>
      </c>
      <c r="H186" t="s">
        <v>31</v>
      </c>
      <c r="I186">
        <v>2.905</v>
      </c>
      <c r="J186" s="9" t="s">
        <v>63</v>
      </c>
    </row>
    <row r="187">
      <c r="B187" t="s">
        <v>750</v>
      </c>
      <c r="E187" s="9" t="s">
        <f>CONCATENATE(I186,"*","(",ROUND(I170,1)," + ",ROUND(I171,1),")")</f>
        <v>814</v>
      </c>
      <c r="H187" t="s">
        <v>31</v>
      </c>
      <c r="I187" s="9">
        <f>I186*I173</f>
        <v>153.965</v>
      </c>
      <c r="J187" t="s">
        <v>752</v>
      </c>
    </row>
    <row r="188">
      <c r="B188" t="s">
        <v>753</v>
      </c>
      <c r="D188" s="9" t="s">
        <f>CONCATENATE(ROUND(I170,2),"*",C6,"-",ROUND(I171,2),"*",C7)</f>
        <v>815</v>
      </c>
      <c r="H188" t="s">
        <v>31</v>
      </c>
      <c r="I188" s="9">
        <f>ABS(I170*C6-I171*C7)</f>
        <v>2.8426347305389212</v>
      </c>
      <c r="J188" t="s">
        <v>752</v>
      </c>
    </row>
    <row r="189">
      <c r="B189" t="s">
        <v>755</v>
      </c>
      <c r="H189" t="s">
        <v>31</v>
      </c>
      <c r="I189" s="2">
        <f>I188/I173</f>
        <v>0.053634617557338136</v>
      </c>
      <c r="J189" t="s">
        <v>63</v>
      </c>
    </row>
    <row r="190"/>
    <row r="191">
      <c r="A191" t="s">
        <v>816</v>
      </c>
      <c r="B191" t="s">
        <v>757</v>
      </c>
      <c r="E191" t="s">
        <v>817</v>
      </c>
    </row>
    <row r="192">
      <c r="C192" t="s">
        <v>725</v>
      </c>
      <c r="D192" s="9">
        <f>E192-H192</f>
        <v>29.6</v>
      </c>
      <c r="E192">
        <f>VLOOKUP(two_span_length,T195:W200,2,0.1)</f>
        <v>50</v>
      </c>
      <c r="F192" t="s">
        <v>735</v>
      </c>
      <c r="G192" t="s">
        <v>725</v>
      </c>
      <c r="H192" s="1">
        <f>IF(OR(E192=T205,E192=T209),U205,IF(OR(E192=T212,E192=T213),U212,IF(E192=T214,U214,"err")))</f>
        <v>20.4</v>
      </c>
      <c r="I192" t="s">
        <v>735</v>
      </c>
    </row>
    <row r="193" ht="13.5" customHeight="1">
      <c r="E193">
        <f>VLOOKUP(two_span_length,T195:W200,4,0.1)</f>
        <v>5.71</v>
      </c>
      <c r="G193">
        <f>VLOOKUP(two_span_length,T195:W200,3,0.1)</f>
        <v>8.79</v>
      </c>
      <c r="H193" t="s">
        <v>63</v>
      </c>
    </row>
    <row r="194">
      <c r="T194" t="s">
        <v>818</v>
      </c>
      <c r="U194" t="s">
        <v>731</v>
      </c>
      <c r="V194" t="s">
        <v>819</v>
      </c>
      <c r="W194" t="s">
        <v>820</v>
      </c>
    </row>
    <row r="195">
      <c r="D195">
        <f>VLOOKUP(load1,R218:S221,2,0.1)</f>
        <v>4.07</v>
      </c>
      <c r="E195">
        <f>E193-D195</f>
        <v>1.6399999999999997</v>
      </c>
      <c r="F195">
        <f>G193-G195</f>
        <v>4.6499999999999995</v>
      </c>
      <c r="G195">
        <f>VLOOKUP(load,Q205:S214,3,0.1)</f>
        <v>4.14</v>
      </c>
      <c r="H195" t="s">
        <v>63</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63</v>
      </c>
      <c r="C198" s="1">
        <f>C25</f>
        <v>8.35</v>
      </c>
      <c r="D198" s="1" t="s">
        <v>63</v>
      </c>
      <c r="E198" s="1" t="s">
        <v>709</v>
      </c>
      <c r="F198" t="s">
        <v>710</v>
      </c>
      <c r="H198" s="1">
        <f>H25</f>
        <v>8.35</v>
      </c>
      <c r="I198" t="s">
        <v>63</v>
      </c>
      <c r="J198">
        <f>+J57</f>
        <v>0.3</v>
      </c>
      <c r="T198">
        <f>V198+W198</f>
        <v>18.700000000000003</v>
      </c>
      <c r="U198">
        <v>52.7</v>
      </c>
      <c r="V198">
        <v>9.24</v>
      </c>
      <c r="W198">
        <v>9.46</v>
      </c>
    </row>
    <row r="199">
      <c r="B199" t="s">
        <v>728</v>
      </c>
      <c r="E199" s="12">
        <f>+E26</f>
        <v>0.3</v>
      </c>
      <c r="F199" s="12">
        <v>0.3</v>
      </c>
      <c r="G199" t="s">
        <v>63</v>
      </c>
      <c r="I199" t="s">
        <v>729</v>
      </c>
      <c r="T199">
        <f>V199+W199</f>
        <v>18.8</v>
      </c>
      <c r="U199">
        <v>55.4</v>
      </c>
      <c r="V199">
        <v>9.71</v>
      </c>
      <c r="W199">
        <v>9.09</v>
      </c>
    </row>
    <row r="200">
      <c r="T200" s="9">
        <f>A198+C198+E199+H198+J198</f>
        <v>17.6</v>
      </c>
      <c r="U200">
        <v>55.4</v>
      </c>
      <c r="V200">
        <v>9.71</v>
      </c>
      <c r="W200">
        <v>9.09</v>
      </c>
    </row>
    <row r="201" ht="13.5" customHeight="1">
      <c r="B201" t="s">
        <v>736</v>
      </c>
      <c r="C201" s="9" t="s">
        <f>CONCATENATE(H192,"*(",H198,"-",F195,"+",F199,")/",H198)</f>
        <v>821</v>
      </c>
      <c r="H201" t="s">
        <v>31</v>
      </c>
      <c r="I201" s="1">
        <f>H192*(H198-(G193-G195)+F199)/H198</f>
        <v>9.772455089820358</v>
      </c>
      <c r="J201" t="s">
        <v>735</v>
      </c>
    </row>
    <row r="202">
      <c r="B202" t="s">
        <v>733</v>
      </c>
      <c r="C202" s="14" t="s">
        <f>CONCATENATE(E192,"*(",C198,"-",E195,"+",E199,")/",C198)</f>
        <v>822</v>
      </c>
      <c r="H202" t="s">
        <v>31</v>
      </c>
      <c r="I202" s="17">
        <f>D192*(C198-E195+E199)/C198</f>
        <v>24.849820359281438</v>
      </c>
      <c r="J202" t="s">
        <v>735</v>
      </c>
    </row>
    <row r="203" ht="13.5" customHeight="1">
      <c r="B203" t="s">
        <v>737</v>
      </c>
      <c r="H203" t="s">
        <v>31</v>
      </c>
      <c r="I203" s="14">
        <f>load1-I202</f>
        <v>4.750179640718564</v>
      </c>
      <c r="J203" t="s">
        <v>735</v>
      </c>
    </row>
    <row r="204">
      <c r="B204" t="s">
        <v>763</v>
      </c>
      <c r="D204" t="s">
        <f>CONCATENATE(ROUND(I201,2)," + ",ROUND(I202,2))</f>
        <v>823</v>
      </c>
      <c r="H204" t="s">
        <v>31</v>
      </c>
      <c r="I204" s="17">
        <f>I201+I202</f>
        <v>34.62227544910179</v>
      </c>
      <c r="J204" t="s">
        <v>735</v>
      </c>
      <c r="Q204" t="s">
        <v>731</v>
      </c>
      <c r="R204" t="s">
        <v>824</v>
      </c>
      <c r="S204" t="s">
        <v>825</v>
      </c>
      <c r="T204" t="s">
        <v>826</v>
      </c>
      <c r="U204" t="s">
        <v>827</v>
      </c>
      <c r="V204" t="s">
        <v>825</v>
      </c>
    </row>
    <row r="205">
      <c r="B205" t="s">
        <v>740</v>
      </c>
      <c r="D205" s="9" t="s">
        <f>CONCATENATE(0.2,"*(",E192,")")</f>
        <v>828</v>
      </c>
      <c r="H205" t="s">
        <v>31</v>
      </c>
      <c r="I205" s="9">
        <f>0.2*E192</f>
        <v>10</v>
      </c>
      <c r="J205" t="s">
        <v>735</v>
      </c>
      <c r="Q205">
        <v>27.2</v>
      </c>
      <c r="R205">
        <v>13.6</v>
      </c>
      <c r="S205">
        <v>1.5</v>
      </c>
      <c r="T205">
        <v>55.4</v>
      </c>
      <c r="U205">
        <v>27.2</v>
      </c>
      <c r="V205">
        <v>4.5</v>
      </c>
    </row>
    <row r="206">
      <c r="B206" t="s">
        <v>742</v>
      </c>
      <c r="H206" t="s">
        <v>31</v>
      </c>
      <c r="I206" s="9">
        <f>I33</f>
        <v>485</v>
      </c>
      <c r="J206" t="s">
        <v>735</v>
      </c>
    </row>
    <row r="207">
      <c r="B207" t="s">
        <v>743</v>
      </c>
      <c r="H207" t="s">
        <v>31</v>
      </c>
      <c r="I207" s="1">
        <v>0</v>
      </c>
    </row>
    <row r="208">
      <c r="B208" t="s">
        <v>744</v>
      </c>
      <c r="H208" t="s">
        <v>31</v>
      </c>
      <c r="I208" s="9">
        <f>I207*(I206+I203)</f>
        <v>0</v>
      </c>
      <c r="J208" t="s">
        <v>735</v>
      </c>
    </row>
    <row r="209">
      <c r="B209" t="s">
        <v>745</v>
      </c>
      <c r="H209" t="s">
        <v>31</v>
      </c>
      <c r="I209" s="9">
        <f>MAX(I205/2+I208,I205-I208)</f>
        <v>10</v>
      </c>
      <c r="J209" t="s">
        <v>735</v>
      </c>
      <c r="Q209">
        <v>38.6</v>
      </c>
      <c r="R209">
        <v>20.4</v>
      </c>
      <c r="S209">
        <v>4.14</v>
      </c>
      <c r="T209">
        <v>52.7</v>
      </c>
      <c r="U209">
        <v>27.2</v>
      </c>
      <c r="V209">
        <v>4.5</v>
      </c>
    </row>
    <row r="210">
      <c r="B210" t="s">
        <v>746</v>
      </c>
    </row>
    <row r="211"/>
    <row r="212">
      <c r="B212" t="s">
        <v>766</v>
      </c>
      <c r="F212" t="s">
        <v>748</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829</v>
      </c>
      <c r="U215">
        <f>$C$25+$A$25+($E$26-0.04)/2</f>
        <v>8.780000000000001</v>
      </c>
    </row>
    <row r="216" ht="13.5" customHeight="1">
      <c r="E216" t="s">
        <v>830</v>
      </c>
    </row>
    <row r="217">
      <c r="B217" t="s">
        <v>749</v>
      </c>
      <c r="H217" t="s">
        <v>31</v>
      </c>
      <c r="I217" s="1">
        <f>D213</f>
        <v>4.2</v>
      </c>
      <c r="J217" s="9" t="s">
        <v>63</v>
      </c>
      <c r="R217" t="s">
        <v>831</v>
      </c>
      <c r="S217" t="s">
        <v>832</v>
      </c>
      <c r="U217" t="s">
        <v>831</v>
      </c>
      <c r="V217" t="s">
        <v>832</v>
      </c>
    </row>
    <row r="218">
      <c r="B218" t="s">
        <v>750</v>
      </c>
      <c r="E218" s="9" t="s">
        <f>CONCATENATE(I217,"*",ROUND(I204,1))</f>
        <v>833</v>
      </c>
      <c r="H218" t="s">
        <v>31</v>
      </c>
      <c r="I218" s="9">
        <f>I217*I204</f>
        <v>145.41355688622752</v>
      </c>
      <c r="J218" t="s">
        <v>752</v>
      </c>
      <c r="R218">
        <v>13.6</v>
      </c>
      <c r="S218">
        <v>1.5</v>
      </c>
      <c r="U218">
        <v>28.2</v>
      </c>
      <c r="V218">
        <v>4.07</v>
      </c>
    </row>
    <row r="219">
      <c r="B219" t="s">
        <v>753</v>
      </c>
      <c r="D219" s="9" t="s">
        <f>CONCATENATE(ROUND(I202,1),"*",C6,"-",ROUND(I201,1),"*",C7)</f>
        <v>834</v>
      </c>
      <c r="H219" t="s">
        <v>31</v>
      </c>
      <c r="I219" s="9">
        <f>ABS(I202*C6-I201*C7)</f>
        <v>4.523209580838323</v>
      </c>
      <c r="J219" t="s">
        <v>752</v>
      </c>
      <c r="R219">
        <v>18.2</v>
      </c>
      <c r="S219">
        <v>1.81</v>
      </c>
      <c r="U219">
        <v>25.5</v>
      </c>
      <c r="V219">
        <v>3.4</v>
      </c>
    </row>
    <row r="220">
      <c r="B220" t="s">
        <v>755</v>
      </c>
      <c r="H220" t="s">
        <v>31</v>
      </c>
      <c r="I220" s="2">
        <f>I219/I204</f>
        <v>0.13064449179511303</v>
      </c>
      <c r="J220" t="s">
        <v>63</v>
      </c>
      <c r="R220">
        <v>25.5</v>
      </c>
      <c r="S220">
        <v>3.4</v>
      </c>
      <c r="U220">
        <v>29.6</v>
      </c>
      <c r="V220">
        <v>1.73</v>
      </c>
    </row>
    <row r="221">
      <c r="R221">
        <v>28.2</v>
      </c>
      <c r="S221">
        <v>4.07</v>
      </c>
      <c r="U221">
        <v>18.2</v>
      </c>
      <c r="V221">
        <v>1.81</v>
      </c>
    </row>
    <row r="222"/>
    <row r="223">
      <c r="A223" t="s">
        <v>769</v>
      </c>
      <c r="B223" t="s">
        <v>770</v>
      </c>
    </row>
    <row r="225">
      <c r="B225" t="s">
        <v>736</v>
      </c>
      <c r="C225" s="9" t="s">
        <f>CONCATENATE("2*",ROUND(I201,1))</f>
        <v>835</v>
      </c>
      <c r="G225" t="s">
        <v>31</v>
      </c>
      <c r="H225" s="9">
        <f>2*I201</f>
        <v>19.544910179640716</v>
      </c>
      <c r="I225" t="s">
        <v>735</v>
      </c>
    </row>
    <row r="226">
      <c r="B226" t="s">
        <v>733</v>
      </c>
      <c r="C226" s="9" t="s">
        <f>CONCATENATE("2*",ROUND(I202,1))</f>
        <v>836</v>
      </c>
      <c r="G226" t="s">
        <v>31</v>
      </c>
      <c r="H226" s="14">
        <f>2*I202</f>
        <v>49.699640718562875</v>
      </c>
      <c r="I226" t="s">
        <v>735</v>
      </c>
    </row>
    <row r="227">
      <c r="B227" t="s">
        <v>737</v>
      </c>
      <c r="G227" t="s">
        <v>31</v>
      </c>
      <c r="H227" s="14">
        <f>load1*2-H226</f>
        <v>9.500359281437127</v>
      </c>
      <c r="I227" t="s">
        <v>735</v>
      </c>
    </row>
    <row r="228">
      <c r="B228" t="s">
        <v>763</v>
      </c>
      <c r="D228" t="s">
        <f>CONCATENATE(ROUND(H225,1)," + ",ROUND(H226,1))</f>
        <v>837</v>
      </c>
      <c r="G228" t="s">
        <v>31</v>
      </c>
      <c r="H228" s="14">
        <f>H225+H226</f>
        <v>69.24455089820358</v>
      </c>
      <c r="I228" t="s">
        <v>735</v>
      </c>
    </row>
    <row r="229">
      <c r="B229" t="s">
        <v>774</v>
      </c>
      <c r="G229" t="s">
        <v>31</v>
      </c>
      <c r="H229" s="9">
        <f>I64</f>
        <v>11.08</v>
      </c>
      <c r="I229" t="s">
        <v>735</v>
      </c>
    </row>
    <row r="230">
      <c r="B230" t="s">
        <v>742</v>
      </c>
      <c r="G230" t="s">
        <v>31</v>
      </c>
      <c r="H230" s="9">
        <f>I33</f>
        <v>485</v>
      </c>
      <c r="I230" t="s">
        <v>735</v>
      </c>
    </row>
    <row r="231">
      <c r="B231" t="s">
        <v>743</v>
      </c>
      <c r="G231" t="s">
        <v>31</v>
      </c>
      <c r="H231" s="1">
        <v>0</v>
      </c>
    </row>
    <row r="232">
      <c r="B232" t="s">
        <v>744</v>
      </c>
      <c r="G232" t="s">
        <v>31</v>
      </c>
      <c r="H232" s="9">
        <f>H231*(H230+H227)</f>
        <v>0</v>
      </c>
      <c r="I232" t="s">
        <v>735</v>
      </c>
    </row>
    <row r="233">
      <c r="B233" t="s">
        <v>745</v>
      </c>
      <c r="G233" t="s">
        <v>31</v>
      </c>
      <c r="H233" s="9">
        <f>MAX(H229/2+H232,H229-H232)</f>
        <v>11.08</v>
      </c>
      <c r="I233" t="s">
        <v>735</v>
      </c>
    </row>
    <row r="234">
      <c r="B234" t="s">
        <v>746</v>
      </c>
    </row>
    <row r="235"/>
    <row r="236">
      <c r="B236" t="s">
        <v>775</v>
      </c>
      <c r="F236" t="s">
        <v>748</v>
      </c>
    </row>
    <row r="237">
      <c r="C237" s="17">
        <v>3.05</v>
      </c>
      <c r="D237">
        <f>E240/2-C237</f>
        <v>1.1500000000000004</v>
      </c>
    </row>
    <row r="238"/>
    <row r="239"/>
    <row r="240">
      <c r="E240">
        <f>E44</f>
        <v>8.4</v>
      </c>
      <c r="F240" t="s">
        <v>63</v>
      </c>
    </row>
    <row r="241">
      <c r="B241" t="s">
        <v>749</v>
      </c>
      <c r="G241" t="s">
        <v>31</v>
      </c>
      <c r="H241" s="1">
        <f>D237</f>
        <v>1.1500000000000004</v>
      </c>
      <c r="I241" s="9" t="s">
        <v>63</v>
      </c>
    </row>
    <row r="242">
      <c r="B242" t="s">
        <v>750</v>
      </c>
      <c r="E242" s="9" t="s">
        <f>CONCATENATE(H241,"*",ROUND(H228,1))</f>
        <v>838</v>
      </c>
      <c r="G242" t="s">
        <v>31</v>
      </c>
      <c r="H242" s="9">
        <f>H228*H241</f>
        <v>79.63123353293415</v>
      </c>
      <c r="I242" t="s">
        <v>752</v>
      </c>
    </row>
    <row r="243">
      <c r="B243" t="s">
        <v>753</v>
      </c>
      <c r="D243" s="9" t="s">
        <f>CONCATENATE(ROUND(H226,1),"*",C6,"-",ROUND(H225,1),"*",C7)</f>
        <v>839</v>
      </c>
      <c r="G243" t="s">
        <v>31</v>
      </c>
      <c r="H243" s="9">
        <f>ABS(H226*C6-H225*C7)</f>
        <v>9.046419161676646</v>
      </c>
      <c r="I243" t="s">
        <v>752</v>
      </c>
    </row>
    <row r="244">
      <c r="B244" t="s">
        <v>755</v>
      </c>
      <c r="G244" t="s">
        <v>31</v>
      </c>
      <c r="H244" s="2">
        <f>H243/H228</f>
        <v>0.13064449179511303</v>
      </c>
      <c r="I244" t="s">
        <v>63</v>
      </c>
    </row>
    <row r="245"/>
    <row r="247">
      <c r="A247" t="s">
        <v>778</v>
      </c>
      <c r="B247" t="s">
        <v>779</v>
      </c>
    </row>
    <row r="249">
      <c r="B249" t="s">
        <v>736</v>
      </c>
      <c r="C249" s="9" t="s">
        <f>CONCATENATE("90% of"," 3*",ROUND(I201,1))</f>
        <v>840</v>
      </c>
      <c r="G249" t="s">
        <v>31</v>
      </c>
      <c r="H249" s="9">
        <f>0.9*3*I201</f>
        <v>26.385628742514967</v>
      </c>
      <c r="I249" t="s">
        <v>735</v>
      </c>
    </row>
    <row r="250">
      <c r="B250" t="s">
        <v>733</v>
      </c>
      <c r="C250" s="9" t="s">
        <f>CONCATENATE("90% of"," 3*",ROUND(I202,1))</f>
        <v>841</v>
      </c>
      <c r="G250" t="s">
        <v>31</v>
      </c>
      <c r="H250" s="14">
        <f>0.9*3*I202</f>
        <v>67.09451497005989</v>
      </c>
      <c r="I250" t="s">
        <v>735</v>
      </c>
    </row>
    <row r="251">
      <c r="B251" t="s">
        <v>737</v>
      </c>
      <c r="G251" t="s">
        <v>31</v>
      </c>
      <c r="H251" s="14">
        <f>load1*0.9*3-H250</f>
        <v>12.825485029940111</v>
      </c>
      <c r="I251" t="s">
        <v>735</v>
      </c>
    </row>
    <row r="252">
      <c r="B252" t="s">
        <v>763</v>
      </c>
      <c r="D252" t="s">
        <f>CONCATENATE(ROUND(H249,1)," + ",ROUND(H250,1))</f>
        <v>842</v>
      </c>
      <c r="H252" s="14">
        <f>H249+H250</f>
        <v>93.48014371257486</v>
      </c>
    </row>
    <row r="253">
      <c r="B253" t="s">
        <v>740</v>
      </c>
      <c r="D253" s="9" t="s">
        <f>CONCATENATE("(0.2)*",55.4,"+","0.05*",55.4)</f>
        <v>783</v>
      </c>
      <c r="G253" t="s">
        <v>31</v>
      </c>
      <c r="H253" s="9">
        <f>(0.2)*55.4+(0.05)*55.4</f>
        <v>13.85</v>
      </c>
      <c r="I253" t="s">
        <v>735</v>
      </c>
    </row>
    <row r="254">
      <c r="B254" t="s">
        <v>784</v>
      </c>
    </row>
    <row r="255">
      <c r="B255" t="s">
        <v>843</v>
      </c>
      <c r="G255" t="s">
        <v>31</v>
      </c>
      <c r="H255" s="9">
        <f>I33</f>
        <v>485</v>
      </c>
      <c r="I255" t="s">
        <v>735</v>
      </c>
    </row>
    <row r="256">
      <c r="B256" t="s">
        <v>743</v>
      </c>
      <c r="G256" t="s">
        <v>31</v>
      </c>
      <c r="H256" s="1">
        <v>0</v>
      </c>
    </row>
    <row r="257">
      <c r="B257" t="s">
        <v>744</v>
      </c>
      <c r="G257" t="s">
        <v>31</v>
      </c>
      <c r="H257" s="9">
        <f>H256*(H255+H252)</f>
        <v>0</v>
      </c>
      <c r="I257" t="s">
        <v>735</v>
      </c>
    </row>
    <row r="258">
      <c r="B258" t="s">
        <v>745</v>
      </c>
      <c r="G258" t="s">
        <v>31</v>
      </c>
      <c r="H258" s="9">
        <f>MAX(H253/2+H257,H253-H257)</f>
        <v>13.85</v>
      </c>
      <c r="I258" t="s">
        <v>735</v>
      </c>
    </row>
    <row r="259">
      <c r="B259" t="s">
        <v>746</v>
      </c>
    </row>
    <row r="260"/>
    <row r="261">
      <c r="B261" t="s">
        <v>785</v>
      </c>
      <c r="F261" t="s">
        <v>748</v>
      </c>
    </row>
    <row r="262">
      <c r="C262" s="17">
        <v>4.8</v>
      </c>
      <c r="E262">
        <f>E265/2-C262</f>
        <v>0.7000000000000002</v>
      </c>
    </row>
    <row r="263"/>
    <row r="264"/>
    <row r="265">
      <c r="E265">
        <v>11</v>
      </c>
      <c r="F265" t="s">
        <v>63</v>
      </c>
    </row>
    <row r="266">
      <c r="B266" t="s">
        <v>749</v>
      </c>
      <c r="G266" t="s">
        <v>31</v>
      </c>
      <c r="H266" s="1">
        <f>E262</f>
        <v>0.7000000000000002</v>
      </c>
      <c r="I266" s="9" t="s">
        <v>63</v>
      </c>
    </row>
    <row r="267">
      <c r="B267" t="s">
        <v>750</v>
      </c>
      <c r="E267" s="9" t="s">
        <f>CONCATENATE(H266,"*",ROUND(H252,1))</f>
        <v>844</v>
      </c>
      <c r="G267" t="s">
        <v>31</v>
      </c>
      <c r="H267" s="9">
        <f>H266*H252</f>
        <v>65.43610059880241</v>
      </c>
      <c r="I267" t="s">
        <v>752</v>
      </c>
    </row>
    <row r="268">
      <c r="B268" t="s">
        <v>753</v>
      </c>
      <c r="D268" s="9" t="s">
        <f>CONCATENATE(ROUND(H250,1),"*",C6,"-",ROUND(H249,1),"*",C7)</f>
        <v>845</v>
      </c>
      <c r="G268" t="s">
        <v>31</v>
      </c>
      <c r="H268" s="9">
        <f>ABS(H250*C6-H249*C7)</f>
        <v>12.212665868263475</v>
      </c>
      <c r="I268" t="s">
        <v>752</v>
      </c>
    </row>
    <row r="269">
      <c r="B269" t="s">
        <v>755</v>
      </c>
      <c r="G269" t="s">
        <v>31</v>
      </c>
      <c r="H269" s="2">
        <f>H268/H252</f>
        <v>0.13064449179511306</v>
      </c>
      <c r="I269" t="s">
        <v>63</v>
      </c>
    </row>
    <row r="271">
      <c r="A271" t="s">
        <v>788</v>
      </c>
      <c r="B271" t="s">
        <v>789</v>
      </c>
    </row>
    <row r="273">
      <c r="B273" t="s">
        <v>736</v>
      </c>
      <c r="C273" s="9" t="s">
        <f>CONCATENATE("90% of","(",ROUND(I201,2),"+",ROUND(I171,2),")")</f>
        <v>846</v>
      </c>
      <c r="G273" t="s">
        <v>31</v>
      </c>
      <c r="H273" s="9">
        <f>0.9*(I201+I171)</f>
        <v>28.364550898203593</v>
      </c>
      <c r="I273" t="s">
        <v>735</v>
      </c>
    </row>
    <row r="274">
      <c r="B274" t="s">
        <v>733</v>
      </c>
      <c r="C274" s="9" t="s">
        <f>CONCATENATE("90% of","(",ROUND(I202,2),"+",ROUND(I170,2),")")</f>
        <v>847</v>
      </c>
      <c r="G274" t="s">
        <v>31</v>
      </c>
      <c r="H274" s="9">
        <f>0.9*(I202+I170)</f>
        <v>50.46208383233533</v>
      </c>
      <c r="I274" t="s">
        <v>735</v>
      </c>
    </row>
    <row r="275">
      <c r="B275" t="s">
        <v>737</v>
      </c>
      <c r="G275" t="s">
        <v>31</v>
      </c>
      <c r="H275" s="14">
        <f>load1*0.9*3-H274</f>
        <v>29.45791616766467</v>
      </c>
      <c r="I275" t="s">
        <v>735</v>
      </c>
    </row>
    <row r="276">
      <c r="B276" t="s">
        <v>792</v>
      </c>
      <c r="D276" s="9" t="s">
        <f>CONCATENATE(I32," + ","5% of ",55.4)</f>
        <v>793</v>
      </c>
      <c r="G276" t="s">
        <v>31</v>
      </c>
      <c r="H276" s="9">
        <f>I32+0.05*55.4</f>
        <v>18.77</v>
      </c>
      <c r="I276" t="s">
        <v>735</v>
      </c>
    </row>
    <row r="277">
      <c r="B277" t="s">
        <v>794</v>
      </c>
    </row>
    <row r="278">
      <c r="B278" t="s">
        <v>742</v>
      </c>
      <c r="G278" t="s">
        <v>31</v>
      </c>
      <c r="H278" s="9">
        <f>I33</f>
        <v>485</v>
      </c>
      <c r="I278" t="s">
        <v>735</v>
      </c>
    </row>
    <row r="279">
      <c r="B279" t="s">
        <v>743</v>
      </c>
      <c r="G279" t="s">
        <v>31</v>
      </c>
      <c r="H279" s="1">
        <v>0</v>
      </c>
    </row>
    <row r="280">
      <c r="B280" t="s">
        <v>744</v>
      </c>
      <c r="G280" t="s">
        <v>31</v>
      </c>
      <c r="H280" s="9">
        <f>H279*(H278+H275)</f>
        <v>0</v>
      </c>
      <c r="I280" t="s">
        <v>735</v>
      </c>
    </row>
    <row r="281">
      <c r="B281" t="s">
        <v>745</v>
      </c>
      <c r="G281" t="s">
        <v>31</v>
      </c>
      <c r="H281" s="9">
        <f>MAX(H276/2+H280,H276-H280)</f>
        <v>18.77</v>
      </c>
      <c r="I281" t="s">
        <v>735</v>
      </c>
    </row>
    <row r="282">
      <c r="B282" t="s">
        <v>746</v>
      </c>
    </row>
    <row r="283"/>
    <row r="284">
      <c r="B284" t="s">
        <v>795</v>
      </c>
      <c r="F284" t="s">
        <v>748</v>
      </c>
      <c r="H284" t="s">
        <v>796</v>
      </c>
    </row>
    <row r="285">
      <c r="C285" s="15">
        <v>2.595</v>
      </c>
      <c r="D285" s="2">
        <v>2.905</v>
      </c>
      <c r="F285">
        <v>0.84</v>
      </c>
    </row>
    <row r="286"/>
    <row r="287"/>
    <row r="288">
      <c r="E288">
        <v>8.4</v>
      </c>
    </row>
    <row r="289">
      <c r="B289" t="s">
        <v>797</v>
      </c>
      <c r="G289" t="s">
        <v>31</v>
      </c>
      <c r="H289" s="2">
        <f>D285</f>
        <v>2.905</v>
      </c>
      <c r="I289" s="9" t="s">
        <v>63</v>
      </c>
    </row>
    <row r="290">
      <c r="B290" t="s">
        <v>798</v>
      </c>
      <c r="G290" t="s">
        <v>31</v>
      </c>
      <c r="H290" s="1">
        <f>-F285</f>
        <v>-0.84</v>
      </c>
      <c r="I290" s="9" t="s">
        <v>63</v>
      </c>
    </row>
    <row r="291">
      <c r="B291" t="s">
        <v>799</v>
      </c>
      <c r="D291" s="9" t="s">
        <f>CONCATENATE("0.9*(",ROUND(I28,1),"*",ROUND(H289,1),"-",ROUND(I60,1),"*",ROUND(H290,1),")")</f>
        <v>848</v>
      </c>
      <c r="G291" t="s">
        <v>31</v>
      </c>
      <c r="H291" s="9">
        <f>0.9*(I173*H289+I204*H290)</f>
        <v>112.39405976047905</v>
      </c>
    </row>
    <row r="292">
      <c r="B292" t="s">
        <v>801</v>
      </c>
      <c r="G292" t="s">
        <v>31</v>
      </c>
      <c r="H292" s="2">
        <f>H291/(H273+H274)</f>
        <v>1.4258386159029504</v>
      </c>
      <c r="I292" t="s">
        <v>752</v>
      </c>
    </row>
    <row r="293">
      <c r="B293" t="s">
        <v>753</v>
      </c>
      <c r="D293" s="9" t="s">
        <f>CONCATENATE(ROUND(H274,1),"*",C6,"-",ROUND(H273,1),"*",C7)</f>
        <v>849</v>
      </c>
      <c r="G293" t="s">
        <v>31</v>
      </c>
      <c r="H293" s="9">
        <f>ABS(H274*C6-H273*C7)</f>
        <v>6.62925988023952</v>
      </c>
      <c r="I293" t="s">
        <v>752</v>
      </c>
    </row>
    <row r="294">
      <c r="B294" t="s">
        <v>755</v>
      </c>
      <c r="G294" t="s">
        <v>31</v>
      </c>
      <c r="H294" s="2">
        <f>H293/(H273+H274)</f>
        <v>0.08409923755975364</v>
      </c>
      <c r="I294" t="s">
        <v>63</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850</v>
      </c>
    </row>
    <row r="2" ht="13.5" customHeight="1"/>
    <row r="3" ht="15.75" customHeight="1">
      <c r="A3" t="s">
        <v>851</v>
      </c>
      <c r="F3" t="s">
        <v>852</v>
      </c>
      <c r="H3" t="s">
        <v>853</v>
      </c>
      <c r="I3" t="s">
        <v>854</v>
      </c>
    </row>
    <row r="4" ht="48" customHeight="1">
      <c r="A4" t="s">
        <v>855</v>
      </c>
      <c r="B4" t="s">
        <v>856</v>
      </c>
      <c r="D4" t="s">
        <v>857</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858</v>
      </c>
      <c r="F11" t="s">
        <v>852</v>
      </c>
      <c r="G11" t="s">
        <v>853</v>
      </c>
      <c r="H11" t="s">
        <v>854</v>
      </c>
    </row>
    <row r="12" ht="48" customHeight="1">
      <c r="A12" t="s">
        <v>859</v>
      </c>
      <c r="C12" t="s">
        <v>855</v>
      </c>
      <c r="D12" t="s">
        <v>856</v>
      </c>
      <c r="E12" t="s">
        <v>857</v>
      </c>
    </row>
    <row r="13">
      <c r="A13" t="s">
        <v>860</v>
      </c>
      <c r="C13" s="9">
        <f>LLOAD!I173</f>
        <v>53</v>
      </c>
      <c r="D13" s="9">
        <f>LLOAD!I187</f>
        <v>153.965</v>
      </c>
      <c r="E13" s="9">
        <f>LLOAD!I188</f>
        <v>2.8426347305389212</v>
      </c>
      <c r="F13" s="9">
        <f>LLOAD!I178</f>
        <v>20</v>
      </c>
      <c r="G13" s="2">
        <f>LLOAD!I186</f>
        <v>2.905</v>
      </c>
      <c r="H13" s="2">
        <f>LLOAD!I189</f>
        <v>0.053634617557338136</v>
      </c>
      <c r="J13" t="s">
        <v>1</v>
      </c>
    </row>
    <row r="14">
      <c r="A14" t="s">
        <v>861</v>
      </c>
      <c r="C14" s="9">
        <f>LLOAD!I204</f>
        <v>34.62227544910179</v>
      </c>
      <c r="D14" s="9">
        <f>LLOAD!I218</f>
        <v>145.41355688622752</v>
      </c>
      <c r="E14" s="9">
        <f>LLOAD!I219</f>
        <v>4.523209580838323</v>
      </c>
      <c r="F14" s="9">
        <f>LLOAD!I209</f>
        <v>10</v>
      </c>
      <c r="G14" s="2">
        <f>LLOAD!I217</f>
        <v>4.2</v>
      </c>
      <c r="H14" s="2">
        <f>LLOAD!I220</f>
        <v>0.13064449179511303</v>
      </c>
    </row>
    <row r="15">
      <c r="A15" t="s">
        <v>862</v>
      </c>
      <c r="C15" s="9">
        <f>LLOAD!H228</f>
        <v>69.24455089820358</v>
      </c>
      <c r="D15" s="9">
        <f>LLOAD!H242</f>
        <v>79.63123353293415</v>
      </c>
      <c r="E15" s="9">
        <f>LLOAD!H243</f>
        <v>9.046419161676646</v>
      </c>
      <c r="F15" s="9">
        <f>LLOAD!H233</f>
        <v>11.08</v>
      </c>
      <c r="G15" s="2">
        <f>LLOAD!H243</f>
        <v>9.046419161676646</v>
      </c>
      <c r="H15" s="2">
        <f>LLOAD!H244</f>
        <v>0.13064449179511303</v>
      </c>
    </row>
    <row r="16">
      <c r="A16" t="s">
        <v>863</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864</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865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293</v>
      </c>
      <c r="H2">
        <f>MAX('loadsumm '!C13,'loadsumm '!C14,'loadsumm '!C15,'loadsumm '!C17)</f>
        <v>78.82663473053893</v>
      </c>
      <c r="I2" t="s">
        <v>866</v>
      </c>
      <c r="J2" t="s">
        <v>31</v>
      </c>
      <c r="K2" s="1">
        <f>H2*10</f>
        <v>788.2663473053892</v>
      </c>
      <c r="L2" t="s">
        <v>867</v>
      </c>
    </row>
    <row r="3" ht="18" customHeight="1"/>
    <row r="4" ht="42.75" customHeight="1">
      <c r="B4" s="1" t="s">
        <v>300</v>
      </c>
      <c r="H4">
        <f>MAX('loadsumm '!E15,'loadsumm '!E16,'loadsumm '!E17,'loadsumm '!E19)</f>
        <v>12.212665868263475</v>
      </c>
      <c r="I4" t="s">
        <v>868</v>
      </c>
      <c r="J4" t="s">
        <v>31</v>
      </c>
      <c r="K4" s="1">
        <f>H4*10</f>
        <v>122.12665868263474</v>
      </c>
      <c r="L4" t="s">
        <v>869</v>
      </c>
    </row>
    <row r="5" ht="18" customHeight="1"/>
    <row r="6" ht="42.75" customHeight="1">
      <c r="B6" s="1" t="s">
        <v>870</v>
      </c>
      <c r="H6">
        <f>MAX('loadsumm '!D17,'loadsumm '!D18,'loadsumm '!D19,'loadsumm '!D21)</f>
        <v>112.39405976047905</v>
      </c>
      <c r="I6" t="s">
        <v>868</v>
      </c>
      <c r="J6" t="s">
        <v>31</v>
      </c>
      <c r="K6" s="1">
        <f>H6*10</f>
        <v>1123.9405976047906</v>
      </c>
      <c r="L6" t="s">
        <v>869</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26</v>
      </c>
    </row>
    <row r="2" ht="36.95" customHeight="1">
      <c r="A2" t="s">
        <v>871</v>
      </c>
      <c r="G2" s="2">
        <f>HYDRAULICS!E40</f>
        <v>101.6</v>
      </c>
      <c r="H2" t="s">
        <v>70</v>
      </c>
    </row>
    <row r="3" ht="36.95" customHeight="1">
      <c r="A3" t="s">
        <v>872</v>
      </c>
      <c r="G3" s="2">
        <f>'STABILITY CHECK FOR PIER'!E18-1+4</f>
        <v>96.46999999999998</v>
      </c>
      <c r="H3" t="s">
        <v>70</v>
      </c>
    </row>
    <row r="4" ht="36.95" customHeight="1">
      <c r="A4" t="s">
        <v>873</v>
      </c>
      <c r="G4" s="4">
        <f>'Deck Anchorage'!H11*1000</f>
        <v>750</v>
      </c>
      <c r="H4" t="s">
        <v>208</v>
      </c>
    </row>
    <row r="5" ht="36.95" customHeight="1">
      <c r="A5" t="s">
        <v>874</v>
      </c>
      <c r="G5">
        <v>300</v>
      </c>
      <c r="H5" t="s">
        <v>208</v>
      </c>
    </row>
    <row r="6" ht="36.95" customHeight="1">
      <c r="A6" t="s">
        <v>875</v>
      </c>
      <c r="G6">
        <f>(Y14-Y31-G5/1000)*1000</f>
        <v>4830.00000000001</v>
      </c>
      <c r="H6" t="s">
        <v>208</v>
      </c>
    </row>
    <row r="7" ht="36.95" customHeight="1">
      <c r="A7" t="s">
        <v>876</v>
      </c>
      <c r="G7">
        <f>4500</f>
        <v>4500</v>
      </c>
      <c r="H7" t="s">
        <v>208</v>
      </c>
      <c r="J7" t="s">
        <v>877</v>
      </c>
      <c r="K7">
        <v>1000</v>
      </c>
      <c r="L7" t="s">
        <v>208</v>
      </c>
    </row>
    <row r="8" ht="36.95" customHeight="1">
      <c r="A8" t="s">
        <v>878</v>
      </c>
      <c r="G8">
        <f>2500</f>
        <v>2500</v>
      </c>
      <c r="H8" t="s">
        <v>208</v>
      </c>
      <c r="J8" t="s">
        <v>877</v>
      </c>
      <c r="K8">
        <v>1000</v>
      </c>
      <c r="L8" t="s">
        <v>208</v>
      </c>
    </row>
    <row r="9" ht="36.95" customHeight="1">
      <c r="A9" t="s">
        <v>879</v>
      </c>
      <c r="G9">
        <v>1050</v>
      </c>
      <c r="H9" t="s">
        <v>208</v>
      </c>
    </row>
    <row r="10" ht="36.95" customHeight="1">
      <c r="A10" t="s">
        <v>880</v>
      </c>
      <c r="G10">
        <v>1200</v>
      </c>
      <c r="H10" t="s">
        <v>208</v>
      </c>
    </row>
    <row r="11" ht="36.95" customHeight="1">
      <c r="A11" t="s">
        <v>881</v>
      </c>
      <c r="G11">
        <v>300</v>
      </c>
      <c r="H11" t="s">
        <v>208</v>
      </c>
    </row>
    <row r="12" ht="36.95" customHeight="1">
      <c r="A12" t="s">
        <v>882</v>
      </c>
      <c r="G12">
        <v>1000</v>
      </c>
      <c r="H12" t="s">
        <v>208</v>
      </c>
    </row>
    <row r="13" ht="36.95" customHeight="1">
      <c r="M13">
        <f>G11</f>
        <v>300</v>
      </c>
    </row>
    <row r="14" ht="36.95" customHeight="1">
      <c r="X14" t="s">
        <v>883</v>
      </c>
      <c r="Y14" s="2">
        <f>G2</f>
        <v>101.6</v>
      </c>
      <c r="Z14" t="s">
        <v>70</v>
      </c>
    </row>
    <row r="15" ht="36.95" customHeight="1">
      <c r="A15">
        <f>G5</f>
        <v>300</v>
      </c>
      <c r="F15" t="s">
        <v>884</v>
      </c>
    </row>
    <row r="17" ht="36.95" customHeight="1">
      <c r="K17">
        <f>G4-G5</f>
        <v>450</v>
      </c>
      <c r="M17" t="s">
        <v>885</v>
      </c>
      <c r="Q17" t="s">
        <v>886</v>
      </c>
      <c r="W17">
        <f>G4</f>
        <v>750</v>
      </c>
    </row>
    <row r="18" ht="36.95" customHeight="1"/>
    <row r="20" ht="36.75" customHeight="1">
      <c r="J20">
        <f>G10</f>
        <v>1200</v>
      </c>
      <c r="N20" t="s">
        <v>887</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888</v>
      </c>
      <c r="S28" t="s">
        <v>889</v>
      </c>
      <c r="U28">
        <f>K8</f>
        <v>1000</v>
      </c>
    </row>
    <row r="30" ht="36.95" customHeight="1">
      <c r="W30">
        <f>G12</f>
        <v>1000</v>
      </c>
    </row>
    <row r="31" ht="36.95" customHeight="1">
      <c r="X31" t="s">
        <v>883</v>
      </c>
      <c r="Y31" s="2">
        <f>G3</f>
        <v>96.46999999999998</v>
      </c>
      <c r="Z31" t="s">
        <v>70</v>
      </c>
    </row>
    <row r="32" ht="36.95" customHeight="1">
      <c r="G32">
        <f>G7</f>
        <v>4500</v>
      </c>
      <c r="O32">
        <f>G9</f>
        <v>1050</v>
      </c>
      <c r="S32">
        <f>G8</f>
        <v>2500</v>
      </c>
    </row>
    <row r="33" ht="36.95" customHeight="1">
      <c r="M33">
        <f>G32+O32+S32</f>
        <v>8050</v>
      </c>
    </row>
    <row r="35" ht="36.95" customHeight="1">
      <c r="C35" t="s">
        <v>890</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891</v>
      </c>
    </row>
    <row r="2" ht="15.75" customHeight="1">
      <c r="A2" s="4" t="s">
        <f>'TYPE1-AbutMENT Drawing'!A1:Z1</f>
        <v>26</v>
      </c>
    </row>
    <row r="3" ht="15.75" customHeight="1">
      <c r="A3" t="s">
        <v>892</v>
      </c>
      <c r="B3" t="s">
        <v>893</v>
      </c>
      <c r="C3" t="s">
        <v>894</v>
      </c>
    </row>
    <row r="4" ht="15" customHeight="1">
      <c r="B4" t="s">
        <v>895</v>
      </c>
      <c r="C4" t="s">
        <v>896</v>
      </c>
      <c r="D4" t="s">
        <v>897</v>
      </c>
      <c r="F4" s="1">
        <v>8.4</v>
      </c>
      <c r="G4" s="1" t="s">
        <v>70</v>
      </c>
    </row>
    <row r="5" ht="15" customHeight="1">
      <c r="C5" t="s">
        <v>898</v>
      </c>
    </row>
    <row r="6" ht="15" customHeight="1">
      <c r="B6" t="s">
        <v>899</v>
      </c>
      <c r="C6" t="s">
        <v>900</v>
      </c>
    </row>
    <row r="7" ht="15" customHeight="1">
      <c r="B7" t="s">
        <v>901</v>
      </c>
      <c r="C7" t="s">
        <v>902</v>
      </c>
    </row>
    <row r="8" ht="15" customHeight="1">
      <c r="B8" t="s">
        <v>903</v>
      </c>
      <c r="C8" t="s">
        <v>904</v>
      </c>
      <c r="F8">
        <v>35</v>
      </c>
      <c r="G8" t="s">
        <v>905</v>
      </c>
    </row>
    <row r="9" ht="15" customHeight="1">
      <c r="C9" t="s">
        <v>906</v>
      </c>
      <c r="E9">
        <v>18</v>
      </c>
      <c r="F9" t="s">
        <v>907</v>
      </c>
    </row>
    <row r="10" ht="15" customHeight="1">
      <c r="C10" t="s">
        <v>908</v>
      </c>
      <c r="F10">
        <v>17.5</v>
      </c>
      <c r="G10" t="s">
        <v>905</v>
      </c>
    </row>
    <row r="11" ht="15" customHeight="1">
      <c r="B11" t="s">
        <v>909</v>
      </c>
      <c r="C11" t="s">
        <v>910</v>
      </c>
    </row>
    <row r="12" ht="15" customHeight="1">
      <c r="B12" t="s">
        <v>911</v>
      </c>
    </row>
    <row r="13" ht="15" customHeight="1">
      <c r="B13" t="s">
        <v>912</v>
      </c>
      <c r="C13" t="s">
        <v>31</v>
      </c>
      <c r="D13" s="1">
        <f>'STABILITY CHECK FOR PIER'!P46/8.4</f>
        <v>177.84689142857164</v>
      </c>
      <c r="E13" t="s">
        <v>913</v>
      </c>
    </row>
    <row r="14" ht="15" customHeight="1">
      <c r="B14" t="s">
        <v>914</v>
      </c>
      <c r="C14" t="s">
        <v>31</v>
      </c>
      <c r="D14" s="1">
        <f>'STABILITY CHECK FOR PIER'!F63/8.4</f>
        <v>93.84123182207014</v>
      </c>
      <c r="E14" t="s">
        <v>913</v>
      </c>
    </row>
    <row r="15" ht="30.75" customHeight="1">
      <c r="B15" t="s">
        <v>915</v>
      </c>
    </row>
    <row r="16" ht="14.25" customHeight="1">
      <c r="B16" t="s">
        <v>916</v>
      </c>
    </row>
    <row r="17" ht="15.75" customHeight="1">
      <c r="A17" t="s">
        <v>917</v>
      </c>
    </row>
    <row r="18" ht="33.75" customHeight="1">
      <c r="B18" t="s">
        <v>918</v>
      </c>
    </row>
    <row r="19" ht="15.75" customHeight="1">
      <c r="A19" t="s">
        <v>919</v>
      </c>
    </row>
    <row r="20" ht="15.75" customHeight="1">
      <c r="A20" t="s">
        <v>920</v>
      </c>
      <c r="B20" t="s">
        <v>921</v>
      </c>
    </row>
    <row r="21" ht="15" customHeight="1">
      <c r="B21" t="s">
        <v>922</v>
      </c>
      <c r="C21">
        <v>0.2</v>
      </c>
      <c r="D21" t="s">
        <v>177</v>
      </c>
      <c r="E21">
        <v>1000</v>
      </c>
      <c r="F21" t="s">
        <v>124</v>
      </c>
      <c r="G21">
        <f>C21*E21</f>
        <v>200</v>
      </c>
      <c r="H21" t="s">
        <v>182</v>
      </c>
    </row>
    <row r="22" ht="15" customHeight="1">
      <c r="B22" t="s">
        <v>923</v>
      </c>
    </row>
    <row r="23" ht="15" customHeight="1">
      <c r="B23" t="s">
        <v>924</v>
      </c>
      <c r="C23">
        <f>G21</f>
        <v>200</v>
      </c>
      <c r="D23" t="s">
        <v>85</v>
      </c>
      <c r="E23">
        <v>2</v>
      </c>
      <c r="F23" t="s">
        <v>124</v>
      </c>
      <c r="G23">
        <f>C23/E23</f>
        <v>100</v>
      </c>
      <c r="H23" t="s">
        <v>182</v>
      </c>
    </row>
    <row r="24" ht="15" customHeight="1">
      <c r="B24" t="s">
        <v>925</v>
      </c>
      <c r="C24">
        <f>G23</f>
        <v>100</v>
      </c>
      <c r="D24" t="s">
        <v>85</v>
      </c>
      <c r="E24" s="1">
        <f>F4</f>
        <v>8.4</v>
      </c>
      <c r="F24" t="s">
        <v>124</v>
      </c>
      <c r="G24">
        <f>ROUNDUP(C24/E24,2)</f>
        <v>11.91</v>
      </c>
      <c r="H24" t="s">
        <v>926</v>
      </c>
    </row>
    <row r="25" ht="15.75" customHeight="1">
      <c r="A25" t="s">
        <v>927</v>
      </c>
      <c r="B25" t="s">
        <v>928</v>
      </c>
    </row>
    <row r="26" ht="15" customHeight="1">
      <c r="B26" t="s">
        <v>929</v>
      </c>
      <c r="D26">
        <v>17</v>
      </c>
      <c r="E26" t="s">
        <v>930</v>
      </c>
    </row>
    <row r="27" ht="15" customHeight="1">
      <c r="B27" t="s">
        <v>931</v>
      </c>
    </row>
    <row r="28" ht="18" customHeight="1">
      <c r="B28" t="s">
        <v>932</v>
      </c>
      <c r="C28" s="21">
        <f>11.7*10^-6</f>
        <v>0.000011699999999999998</v>
      </c>
      <c r="D28" t="s">
        <v>933</v>
      </c>
    </row>
    <row r="29" ht="15" customHeight="1">
      <c r="B29" t="s">
        <v>934</v>
      </c>
      <c r="C29">
        <f>D26</f>
        <v>17</v>
      </c>
      <c r="D29" t="s">
        <v>69</v>
      </c>
      <c r="E29">
        <f>C28</f>
        <v>0.000011699999999999998</v>
      </c>
      <c r="F29" t="s">
        <v>31</v>
      </c>
      <c r="G29" s="21">
        <f>C29*E29</f>
        <v>0.00019889999999999996</v>
      </c>
    </row>
    <row r="30" ht="25.5" customHeight="1">
      <c r="B30" t="s">
        <v>935</v>
      </c>
      <c r="C30" s="21">
        <f>2*10^-4</f>
        <v>0.0002</v>
      </c>
    </row>
    <row r="31" ht="15" customHeight="1">
      <c r="B31" t="s">
        <v>936</v>
      </c>
      <c r="C31" s="21">
        <f>G29</f>
        <v>0.00019889999999999996</v>
      </c>
      <c r="D31" t="s">
        <v>126</v>
      </c>
      <c r="E31" s="21">
        <f>C30</f>
        <v>0.0002</v>
      </c>
      <c r="F31" t="s">
        <v>31</v>
      </c>
      <c r="G31" s="21">
        <f>E31+C31</f>
        <v>0.0003989</v>
      </c>
    </row>
    <row r="32" ht="51.75" customHeight="1">
      <c r="B32" t="s">
        <v>937</v>
      </c>
      <c r="C32" s="21">
        <f>G31</f>
        <v>0.0003989</v>
      </c>
      <c r="D32" t="s">
        <v>69</v>
      </c>
      <c r="E32">
        <f>'STABILITY CHECK FOR PIER'!D27*1000</f>
        <v>8799.999999999998</v>
      </c>
      <c r="F32" t="s">
        <v>938</v>
      </c>
      <c r="G32" s="21">
        <f>C32*E32/2</f>
        <v>1.7551599999999996</v>
      </c>
      <c r="H32" t="s">
        <v>208</v>
      </c>
    </row>
    <row r="33" ht="15" customHeight="1">
      <c r="B33" t="s">
        <v>939</v>
      </c>
      <c r="C33" t="s">
        <v>940</v>
      </c>
      <c r="D33" t="s">
        <v>31</v>
      </c>
      <c r="E33">
        <f>ROUNDUP(5700*(30^0.5),2)</f>
        <v>31220.19</v>
      </c>
      <c r="F33" t="s">
        <v>210</v>
      </c>
    </row>
    <row r="34" ht="30" customHeight="1">
      <c r="B34" t="s">
        <v>941</v>
      </c>
      <c r="C34" s="21">
        <f>G31</f>
        <v>0.0003989</v>
      </c>
      <c r="D34" t="s">
        <v>69</v>
      </c>
      <c r="E34">
        <f>E33</f>
        <v>31220.19</v>
      </c>
      <c r="F34" t="s">
        <v>31</v>
      </c>
      <c r="G34" s="1">
        <f>G31*E33</f>
        <v>12.453733791</v>
      </c>
      <c r="H34" t="s">
        <v>210</v>
      </c>
    </row>
    <row r="35" ht="45" customHeight="1">
      <c r="B35" t="s">
        <v>942</v>
      </c>
      <c r="C35" s="21">
        <f>G34</f>
        <v>12.453733791</v>
      </c>
      <c r="D35" t="s">
        <v>69</v>
      </c>
      <c r="E35">
        <f>'STABILITY CHECK FOR PIER'!H27*1000</f>
        <v>750</v>
      </c>
      <c r="F35" t="s">
        <v>31</v>
      </c>
      <c r="G35" s="1">
        <f>C35*E35</f>
        <v>9340.300343249999</v>
      </c>
      <c r="H35" t="s">
        <v>943</v>
      </c>
    </row>
    <row r="36" ht="15" customHeight="1">
      <c r="F36" t="s">
        <v>31</v>
      </c>
      <c r="G36" s="1">
        <f>G35/1000</f>
        <v>9.340300343249998</v>
      </c>
      <c r="H36" t="s">
        <v>913</v>
      </c>
    </row>
    <row r="37" ht="15.75" customHeight="1">
      <c r="A37" t="s">
        <v>944</v>
      </c>
      <c r="B37" t="s">
        <v>945</v>
      </c>
    </row>
    <row r="38" ht="15.75" customHeight="1">
      <c r="A38" t="s">
        <v>1</v>
      </c>
      <c r="B38" t="s">
        <v>946</v>
      </c>
    </row>
    <row r="39" ht="15" customHeight="1">
      <c r="B39" t="s">
        <v>947</v>
      </c>
      <c r="D39" t="s">
        <v>31</v>
      </c>
      <c r="E39" s="1">
        <f>200*(1.2+0.975)/(11.1*15)</f>
        <v>2.612612612612612</v>
      </c>
      <c r="F39" t="s">
        <v>913</v>
      </c>
    </row>
    <row r="40" ht="15" customHeight="1">
      <c r="B40" t="s">
        <v>948</v>
      </c>
    </row>
    <row r="41" ht="15.75" customHeight="1">
      <c r="A41" t="s">
        <v>949</v>
      </c>
    </row>
    <row r="42" ht="20.25" customHeight="1">
      <c r="B42" t="s">
        <v>950</v>
      </c>
    </row>
    <row r="43" ht="19.5" customHeight="1">
      <c r="B43" t="s">
        <v>951</v>
      </c>
    </row>
    <row r="44" ht="20.25" customHeight="1">
      <c r="B44" t="s">
        <v>952</v>
      </c>
    </row>
    <row r="45" ht="15" customHeight="1">
      <c r="B45" t="s">
        <v>953</v>
      </c>
    </row>
    <row r="46" ht="15" customHeight="1">
      <c r="B46" t="s">
        <v>954</v>
      </c>
    </row>
    <row r="47" ht="15" customHeight="1">
      <c r="B47" t="s">
        <v>955</v>
      </c>
    </row>
    <row r="48" ht="15" customHeight="1">
      <c r="B48" t="s">
        <v>956</v>
      </c>
    </row>
    <row r="49" ht="15" customHeight="1">
      <c r="B49" t="s">
        <v>957</v>
      </c>
    </row>
    <row r="50" ht="15" customHeight="1">
      <c r="B50" t="s">
        <v>958</v>
      </c>
    </row>
    <row r="51" ht="15" customHeight="1">
      <c r="B51" t="s">
        <v>959</v>
      </c>
    </row>
    <row r="52" ht="15" customHeight="1">
      <c r="B52" t="s">
        <v>960</v>
      </c>
      <c r="C52">
        <v>90</v>
      </c>
      <c r="D52">
        <v>0</v>
      </c>
      <c r="F52" t="s">
        <v>961</v>
      </c>
      <c r="G52">
        <f>F8</f>
        <v>35</v>
      </c>
      <c r="H52">
        <v>0</v>
      </c>
    </row>
    <row r="53" ht="15" customHeight="1">
      <c r="B53" t="s">
        <v>962</v>
      </c>
      <c r="C53">
        <f>F10</f>
        <v>17.5</v>
      </c>
      <c r="D53">
        <v>0</v>
      </c>
      <c r="F53" t="s">
        <v>963</v>
      </c>
      <c r="G53">
        <v>0</v>
      </c>
      <c r="H53">
        <v>0</v>
      </c>
    </row>
    <row r="54" ht="19.5" customHeight="1">
      <c r="B54" t="s">
        <v>964</v>
      </c>
      <c r="C54">
        <f>ROUNDUP(0.496,3)</f>
        <v>0.496</v>
      </c>
      <c r="D54" t="s">
        <v>965</v>
      </c>
    </row>
    <row r="55" ht="15" customHeight="1">
      <c r="B55" t="s">
        <v>966</v>
      </c>
      <c r="C55" s="1">
        <f>'TYPE1-AbutMENT Drawing'!G6/1000</f>
        <v>4.83000000000001</v>
      </c>
      <c r="D55" t="s">
        <v>63</v>
      </c>
    </row>
    <row r="56" ht="15" customHeight="1">
      <c r="B56" t="s">
        <v>967</v>
      </c>
    </row>
    <row r="57" ht="14.25" customHeight="1">
      <c r="B57">
        <f>0.5</f>
        <v>0.5</v>
      </c>
      <c r="C57" t="s">
        <v>69</v>
      </c>
      <c r="D57">
        <f>E9</f>
        <v>18</v>
      </c>
      <c r="E57" t="s">
        <v>69</v>
      </c>
      <c r="F57" s="1">
        <f>C55</f>
        <v>4.83000000000001</v>
      </c>
      <c r="G57" t="s">
        <v>968</v>
      </c>
      <c r="H57">
        <f>C54</f>
        <v>0.496</v>
      </c>
    </row>
    <row r="58" ht="15" customHeight="1">
      <c r="B58" t="s">
        <v>31</v>
      </c>
      <c r="C58" s="1">
        <f>ROUNDUP(B57*D57*F57*F57*H57,2)</f>
        <v>104.15</v>
      </c>
      <c r="D58" t="s">
        <v>913</v>
      </c>
    </row>
    <row r="59" ht="15" customHeight="1">
      <c r="B59" t="s">
        <v>969</v>
      </c>
      <c r="C59">
        <f>0.42</f>
        <v>0.42</v>
      </c>
      <c r="D59" t="s">
        <v>69</v>
      </c>
      <c r="E59" s="1">
        <f>C55</f>
        <v>4.83000000000001</v>
      </c>
      <c r="F59" t="s">
        <v>31</v>
      </c>
      <c r="G59">
        <f>ROUNDUP(C59*E59,2)</f>
        <v>2.03</v>
      </c>
      <c r="H59" t="s">
        <v>63</v>
      </c>
    </row>
    <row r="60" ht="15" customHeight="1">
      <c r="B60" t="s">
        <v>970</v>
      </c>
    </row>
    <row r="61" ht="15.75" customHeight="1">
      <c r="A61" t="s">
        <v>971</v>
      </c>
    </row>
    <row r="62" ht="15" customHeight="1">
      <c r="B62" t="s">
        <v>972</v>
      </c>
    </row>
    <row r="63" ht="15" customHeight="1">
      <c r="B63" t="s">
        <v>973</v>
      </c>
      <c r="E63">
        <f>ROUNDUP(1.2*18*0.496*$C$55,2)</f>
        <v>51.75</v>
      </c>
      <c r="F63" t="s">
        <v>913</v>
      </c>
    </row>
    <row r="64" ht="15" customHeight="1">
      <c r="B64" t="s">
        <v>974</v>
      </c>
      <c r="E64">
        <f>ROUNDUP(0.3*24*0.496*$C$55,2)</f>
        <v>17.25</v>
      </c>
      <c r="F64" t="s">
        <v>913</v>
      </c>
    </row>
    <row r="65">
      <c r="D65" t="s">
        <v>71</v>
      </c>
      <c r="E65">
        <f>SUM(E63:E64)</f>
        <v>69</v>
      </c>
      <c r="F65" t="s">
        <v>913</v>
      </c>
    </row>
    <row r="66" ht="15" customHeight="1">
      <c r="B66" t="s">
        <v>975</v>
      </c>
      <c r="C66">
        <f>'TYPE1-AbutMENT Drawing'!B21/2000</f>
        <v>2.415000000000005</v>
      </c>
      <c r="D66" t="s">
        <v>976</v>
      </c>
    </row>
    <row r="67" ht="15" customHeight="1">
      <c r="B67" t="s">
        <v>977</v>
      </c>
    </row>
    <row r="68" ht="15" customHeight="1">
      <c r="B68" t="s">
        <f>CONCATENATE("= (1.2 x 18 + 0.3 x 24 ) x ",'TYPE1-AbutMENT Drawing'!G32/1000," = ")</f>
        <v>978</v>
      </c>
      <c r="C68">
        <f>((1.2*18)+(0.3*24))*'TYPE1-AbutMENT Drawing'!G32/1000</f>
        <v>129.6</v>
      </c>
      <c r="D68" t="s">
        <v>913</v>
      </c>
    </row>
    <row r="69" ht="15.75" customHeight="1">
      <c r="A69" t="s">
        <v>979</v>
      </c>
    </row>
    <row r="70" ht="15" customHeight="1">
      <c r="B70" t="s">
        <v>980</v>
      </c>
      <c r="C70" t="s">
        <f>CONCATENATE("18 x",'TYPE1-AbutMENT Drawing'!G32/1000,"x (",'TYPE1-AbutMENT Drawing'!G6/1000," - ",'TYPE1-AbutMENT Drawing'!W30/1000,")")</f>
        <v>981</v>
      </c>
      <c r="D70" t="s">
        <v>61</v>
      </c>
      <c r="E70">
        <f>C124</f>
        <v>34.48</v>
      </c>
      <c r="F70" t="s">
        <v>913</v>
      </c>
    </row>
    <row r="71" ht="15.75" customHeight="1">
      <c r="A71" t="s">
        <v>982</v>
      </c>
    </row>
    <row r="72" ht="15" customHeight="1">
      <c r="B72" t="s">
        <v>983</v>
      </c>
    </row>
    <row r="73" ht="15" customHeight="1">
      <c r="B73" t="s">
        <v>984</v>
      </c>
    </row>
    <row r="74" ht="15" customHeight="1">
      <c r="B74" t="s">
        <v>985</v>
      </c>
    </row>
    <row r="75" ht="15.75" customHeight="1">
      <c r="B75" t="s">
        <v>986</v>
      </c>
    </row>
    <row r="76" ht="15" customHeight="1">
      <c r="B76" t="s">
        <v>987</v>
      </c>
    </row>
    <row r="77" ht="15" customHeight="1">
      <c r="B77" t="s">
        <v>988</v>
      </c>
      <c r="C77" s="1">
        <f>G134</f>
        <v>471.349</v>
      </c>
      <c r="D77" t="s">
        <v>301</v>
      </c>
    </row>
    <row r="78" ht="15" customHeight="1">
      <c r="B78" t="s">
        <v>989</v>
      </c>
      <c r="C78" s="1">
        <f>F134</f>
        <v>4132.472</v>
      </c>
      <c r="D78" t="s">
        <v>301</v>
      </c>
    </row>
    <row r="79" ht="15" customHeight="1">
      <c r="B79" t="s">
        <v>990</v>
      </c>
      <c r="C79" s="1">
        <f>C78</f>
        <v>4132.472</v>
      </c>
      <c r="D79" t="s">
        <v>85</v>
      </c>
      <c r="E79" s="1">
        <f>C77</f>
        <v>471.349</v>
      </c>
      <c r="F79" t="s">
        <v>31</v>
      </c>
      <c r="G79">
        <f>ROUND(C79/E79,2)</f>
        <v>8.77</v>
      </c>
    </row>
    <row r="80" ht="15" customHeight="1">
      <c r="B80" t="s">
        <v>991</v>
      </c>
      <c r="G80" t="s">
        <v>992</v>
      </c>
    </row>
    <row r="81" ht="19.5" customHeight="1">
      <c r="B81" t="s">
        <v>993</v>
      </c>
    </row>
    <row r="82" ht="15" customHeight="1">
      <c r="C82" t="s">
        <f>CONCATENATE("=(",F134," - ",G134," ) / ",C134," ) =")</f>
        <v>994</v>
      </c>
      <c r="E82">
        <f>ROUND((F134-G134)/C134,2)</f>
        <v>3.65</v>
      </c>
      <c r="F82" t="s">
        <v>63</v>
      </c>
    </row>
    <row r="83" ht="15.75" customHeight="1">
      <c r="A83" t="s">
        <v>995</v>
      </c>
    </row>
    <row r="84" ht="19.5" customHeight="1">
      <c r="B84" t="s">
        <v>996</v>
      </c>
      <c r="C84">
        <f>'TYPE1-AbutMENT Drawing'!M33/1000</f>
        <v>8.05</v>
      </c>
      <c r="D84" t="s">
        <v>997</v>
      </c>
      <c r="E84" s="1">
        <f>C84/6</f>
        <v>1.3416666666666668</v>
      </c>
      <c r="F84" t="s">
        <v>63</v>
      </c>
    </row>
    <row r="85" ht="19.5" customHeight="1">
      <c r="B85" t="s">
        <v>998</v>
      </c>
      <c r="C85" s="1">
        <f>'TYPE1-AbutMENT Drawing'!M33/2000</f>
        <v>4.025</v>
      </c>
      <c r="D85" t="s">
        <v>114</v>
      </c>
      <c r="E85">
        <f>E82</f>
        <v>3.65</v>
      </c>
      <c r="F85" t="s">
        <v>31</v>
      </c>
      <c r="G85" s="1">
        <f>ROUNDUP(C85-E85,2)</f>
        <v>0.38</v>
      </c>
      <c r="H85" t="s">
        <v>63</v>
      </c>
    </row>
    <row r="86">
      <c r="F86" t="s">
        <v>999</v>
      </c>
      <c r="G86" s="1">
        <f>E84</f>
        <v>1.3416666666666668</v>
      </c>
      <c r="H86" t="s">
        <v>63</v>
      </c>
    </row>
    <row r="87" ht="15.75" customHeight="1">
      <c r="B87" t="s">
        <v>1000</v>
      </c>
    </row>
    <row r="88" ht="15" customHeight="1">
      <c r="B88" t="s">
        <v>1001</v>
      </c>
    </row>
    <row r="89" ht="15" customHeight="1">
      <c r="B89" t="s">
        <v>988</v>
      </c>
      <c r="C89" s="1">
        <f>G128</f>
        <v>419.06399999999996</v>
      </c>
      <c r="D89" t="s">
        <v>301</v>
      </c>
    </row>
    <row r="90" ht="15" customHeight="1">
      <c r="B90" t="s">
        <v>989</v>
      </c>
      <c r="C90" s="1">
        <f>F128</f>
        <v>3855.154</v>
      </c>
      <c r="D90" t="s">
        <v>301</v>
      </c>
    </row>
    <row r="91" ht="15" customHeight="1">
      <c r="B91" t="s">
        <v>990</v>
      </c>
      <c r="C91" s="1">
        <f>C90</f>
        <v>3855.154</v>
      </c>
      <c r="D91" t="s">
        <v>85</v>
      </c>
      <c r="E91" s="1">
        <f>C89</f>
        <v>419.06399999999996</v>
      </c>
      <c r="F91" t="s">
        <v>31</v>
      </c>
      <c r="G91">
        <f>ROUND(C91/E91,2)</f>
        <v>9.2</v>
      </c>
    </row>
    <row r="92" ht="15" customHeight="1">
      <c r="B92" t="s">
        <v>991</v>
      </c>
      <c r="G92" t="s">
        <v>992</v>
      </c>
    </row>
    <row r="93" ht="19.5" customHeight="1">
      <c r="B93" t="s">
        <v>1002</v>
      </c>
    </row>
    <row r="94" ht="15" customHeight="1">
      <c r="C94" t="s">
        <f>CONCATENATE("=(",F128," - ",G128," ) / ",C128," ) =")</f>
        <v>1003</v>
      </c>
      <c r="E94">
        <f>ROUND((F128-G128)/C128,2)</f>
        <v>3.79</v>
      </c>
      <c r="F94" t="s">
        <v>63</v>
      </c>
    </row>
    <row r="95" ht="15.75" customHeight="1">
      <c r="A95" t="s">
        <v>1004</v>
      </c>
    </row>
    <row r="96" ht="15" customHeight="1">
      <c r="B96" t="s">
        <v>1005</v>
      </c>
    </row>
    <row r="97" ht="15" customHeight="1">
      <c r="B97" t="s">
        <v>1006</v>
      </c>
      <c r="C97" s="1">
        <f>C134</f>
        <v>1004.0409999999999</v>
      </c>
      <c r="D97" t="s">
        <v>182</v>
      </c>
    </row>
    <row r="98" ht="15" customHeight="1">
      <c r="D98" s="1">
        <f>C134</f>
        <v>1004.0409999999999</v>
      </c>
      <c r="E98" t="s">
        <v>1007</v>
      </c>
    </row>
    <row r="99" ht="15.75" customHeight="1">
      <c r="A99" t="s">
        <v>1008</v>
      </c>
    </row>
    <row r="100" ht="15.75" customHeight="1">
      <c r="B100" t="s">
        <v>1009</v>
      </c>
      <c r="C100" t="s">
        <f>CONCATENATE($C$97,"/","(",'TYPE1-AbutMENT Drawing'!$M$33/1000,"x",1,")","(1 +","(",6,"x",$G$85,"/",'TYPE1-AbutMENT Drawing'!$M$33/1000,"))")</f>
        <v>1010</v>
      </c>
      <c r="E100" t="s">
        <v>31</v>
      </c>
      <c r="F100">
        <f>ROUNDUP(($D$98*1000/'TYPE1-AbutMENT Drawing'!$M$33)*(1+$G$85*6*1000/'TYPE1-AbutMENT Drawing'!$M$33),2)</f>
        <v>160.06</v>
      </c>
      <c r="G100" t="s">
        <v>258</v>
      </c>
    </row>
    <row r="101">
      <c r="B101" t="s">
        <v>1011</v>
      </c>
      <c r="C101" t="s">
        <f>CONCATENATE($C$97,"/","(",'TYPE1-AbutMENT Drawing'!$M$33/1000,"x",1,")","(1 -","(",6,"x",$G$85,"/",'TYPE1-AbutMENT Drawing'!$M$33/1000,"))")</f>
        <v>1012</v>
      </c>
      <c r="E101" t="s">
        <v>31</v>
      </c>
      <c r="F101">
        <f>ROUNDUP(($D$98*1000/'TYPE1-AbutMENT Drawing'!$M$33)*(1-$G$85*6*1000/'TYPE1-AbutMENT Drawing'!$M$33),2)</f>
        <v>89.4</v>
      </c>
      <c r="G101" t="s">
        <v>258</v>
      </c>
    </row>
    <row r="102" ht="16.5" customHeight="1">
      <c r="A102" t="s">
        <v>1013</v>
      </c>
    </row>
    <row r="103" ht="16.5" customHeight="1">
      <c r="A103" t="s">
        <v>1014</v>
      </c>
      <c r="B103" t="s">
        <v>1015</v>
      </c>
      <c r="C103" t="s">
        <v>1016</v>
      </c>
      <c r="E103" t="s">
        <v>1017</v>
      </c>
    </row>
    <row r="104" ht="15.75" customHeight="1">
      <c r="A104" t="s">
        <v>1018</v>
      </c>
      <c r="C104" t="s">
        <v>51</v>
      </c>
      <c r="D104" t="s">
        <v>1019</v>
      </c>
      <c r="E104" t="s">
        <v>1020</v>
      </c>
    </row>
    <row r="105" ht="20.25" customHeight="1">
      <c r="E105" t="s">
        <v>63</v>
      </c>
      <c r="F105" t="s">
        <v>1021</v>
      </c>
      <c r="G105" t="s">
        <v>1022</v>
      </c>
    </row>
    <row r="106" ht="16.5" customHeight="1">
      <c r="A106" t="s">
        <v>712</v>
      </c>
      <c r="B106" t="s">
        <v>1023</v>
      </c>
      <c r="C106" s="1">
        <f>$D$13</f>
        <v>177.84689142857164</v>
      </c>
      <c r="D106" t="s">
        <v>114</v>
      </c>
      <c r="E106">
        <f>ROUNDUP(('TYPE1-AbutMENT Drawing'!S32+('TYPE1-AbutMENT Drawing'!O32-'TYPE1-AbutMENT Drawing'!M13)/2)/1000,2)</f>
        <v>2.88</v>
      </c>
      <c r="F106" s="2">
        <f>ROUNDUP((C106*E106),2)</f>
        <v>512.2</v>
      </c>
      <c r="G106" t="s">
        <v>114</v>
      </c>
    </row>
    <row r="107" ht="30.75" customHeight="1">
      <c r="A107" t="s">
        <v>714</v>
      </c>
      <c r="B107" t="s">
        <v>1024</v>
      </c>
      <c r="C107">
        <v>0</v>
      </c>
      <c r="D107" s="1">
        <f>$G$36</f>
        <v>9.340300343249998</v>
      </c>
      <c r="E107" s="1">
        <f>ROUNDUP(('TYPE1-AbutMENT Drawing'!$B$21-'TYPE1-AbutMENT Drawing'!$K$17)/1000,2)</f>
        <v>4.39</v>
      </c>
      <c r="F107" t="s">
        <v>114</v>
      </c>
      <c r="G107" s="2">
        <f>D107*E107</f>
        <v>41.00391850686749</v>
      </c>
    </row>
    <row r="108" ht="16.5" customHeight="1">
      <c r="A108" t="s">
        <v>716</v>
      </c>
      <c r="B108" t="s">
        <v>1025</v>
      </c>
      <c r="C108">
        <v>0</v>
      </c>
      <c r="D108" s="1">
        <f>C58</f>
        <v>104.15</v>
      </c>
      <c r="E108">
        <f>G59</f>
        <v>2.03</v>
      </c>
      <c r="F108" t="s">
        <v>114</v>
      </c>
      <c r="G108" s="2">
        <f>D108*E108</f>
        <v>211.4245</v>
      </c>
    </row>
    <row r="109" ht="30.75" customHeight="1">
      <c r="A109" t="s">
        <v>718</v>
      </c>
      <c r="B109" t="s">
        <v>1026</v>
      </c>
      <c r="C109">
        <v>0</v>
      </c>
      <c r="D109" s="1">
        <f>$E$65</f>
        <v>69</v>
      </c>
      <c r="E109">
        <f>C66</f>
        <v>2.415000000000005</v>
      </c>
      <c r="F109" t="s">
        <v>114</v>
      </c>
      <c r="G109" s="2">
        <f>D109*E109</f>
        <v>166.63500000000033</v>
      </c>
    </row>
    <row r="110" ht="15" customHeight="1">
      <c r="A110" t="s">
        <v>720</v>
      </c>
      <c r="B110" t="s">
        <v>1027</v>
      </c>
      <c r="C110" s="1">
        <f>C68</f>
        <v>129.6</v>
      </c>
      <c r="D110" t="s">
        <v>114</v>
      </c>
      <c r="E110">
        <f>('TYPE1-AbutMENT Drawing'!M33-'TYPE1-AbutMENT Drawing'!G32/2)/1000</f>
        <v>5.8</v>
      </c>
      <c r="F110">
        <f>C110*E110</f>
        <v>751.68</v>
      </c>
      <c r="G110" t="s">
        <v>114</v>
      </c>
    </row>
    <row r="111" ht="15.75" customHeight="1">
      <c r="B111" t="s">
        <v>1028</v>
      </c>
    </row>
    <row r="112" ht="15" customHeight="1">
      <c r="A112" t="s">
        <v>1029</v>
      </c>
      <c r="B112" t="s">
        <v>1030</v>
      </c>
      <c r="C112" s="1">
        <f>ROUNDUP('TYPE1-AbutMENT Drawing'!M33*'TYPE1-AbutMENT Drawing'!W30*24/1000000,2)</f>
        <v>193.2</v>
      </c>
      <c r="D112" t="s">
        <v>114</v>
      </c>
      <c r="E112">
        <f>'TYPE1-AbutMENT Drawing'!M33/2000</f>
        <v>4.025</v>
      </c>
      <c r="F112">
        <f>C112*E112</f>
        <v>777.63</v>
      </c>
      <c r="G112" t="s">
        <v>114</v>
      </c>
    </row>
    <row r="113" ht="15.75" customHeight="1">
      <c r="B113" t="s">
        <f>CONCATENATE('TYPE1-AbutMENT Drawing'!M33/1000,"x",'TYPE1-AbutMENT Drawing'!W30/1000,"x 24 =")</f>
        <v>1031</v>
      </c>
    </row>
    <row r="114" ht="15" customHeight="1">
      <c r="A114" t="s">
        <v>1032</v>
      </c>
      <c r="B114" t="s">
        <v>1033</v>
      </c>
      <c r="C114" s="1">
        <f>ROUNDUP('TYPE1-AbutMENT Drawing'!K23*'TYPE1-AbutMENT Drawing'!O32*24/1000000,2)</f>
        <v>54.94</v>
      </c>
      <c r="D114" t="s">
        <v>114</v>
      </c>
      <c r="E114">
        <f>ROUNDUP(('TYPE1-AbutMENT Drawing'!S32+'TYPE1-AbutMENT Drawing'!O32/2)/1000,2)</f>
        <v>3.03</v>
      </c>
      <c r="F114">
        <f>C114*E114</f>
        <v>166.4682</v>
      </c>
      <c r="G114" t="s">
        <v>114</v>
      </c>
    </row>
    <row r="115" ht="15.75" customHeight="1">
      <c r="B115" t="s">
        <f>CONCATENATE('TYPE1-AbutMENT Drawing'!K23/1000,"x",'TYPE1-AbutMENT Drawing'!O32/1000,"x 24 =")</f>
        <v>1034</v>
      </c>
    </row>
    <row r="116" ht="15" customHeight="1">
      <c r="A116" t="s">
        <v>1035</v>
      </c>
      <c r="B116" t="s">
        <v>1036</v>
      </c>
      <c r="C116" s="1">
        <f>ROUNDUP('TYPE1-AbutMENT Drawing'!J20*'TYPE1-AbutMENT Drawing'!O32*24/1000000,2)</f>
        <v>30.24</v>
      </c>
      <c r="D116" t="s">
        <v>114</v>
      </c>
      <c r="E116" t="s">
        <v>1037</v>
      </c>
      <c r="F116">
        <f>C116*E116</f>
        <v>50.8032</v>
      </c>
      <c r="G116" t="s">
        <v>114</v>
      </c>
    </row>
    <row r="117" ht="15.75" customHeight="1">
      <c r="B117" t="s">
        <f>CONCATENATE('TYPE1-AbutMENT Drawing'!J20/1000,"x",'TYPE1-AbutMENT Drawing'!O32/1000,"x 24 =")</f>
        <v>1038</v>
      </c>
    </row>
    <row r="118" ht="15" customHeight="1">
      <c r="A118" t="s">
        <v>1039</v>
      </c>
      <c r="B118" t="s">
        <v>1040</v>
      </c>
      <c r="C118" s="1">
        <f>ROUNDUP('TYPE1-AbutMENT Drawing'!K17*'TYPE1-AbutMENT Drawing'!M13*24/1000000,2)</f>
        <v>3.24</v>
      </c>
      <c r="D118" t="s">
        <v>114</v>
      </c>
      <c r="E118" t="s">
        <v>1041</v>
      </c>
      <c r="F118">
        <f>C118*E118</f>
        <v>6.6419999999999995</v>
      </c>
      <c r="G118" t="s">
        <v>114</v>
      </c>
    </row>
    <row r="119" ht="15.75" customHeight="1">
      <c r="B119" t="s">
        <f>CONCATENATE('TYPE1-AbutMENT Drawing'!M13/1000,"x",'TYPE1-AbutMENT Drawing'!K17/1000,"x 24 =")</f>
        <v>1042</v>
      </c>
    </row>
    <row r="120" ht="15" customHeight="1">
      <c r="A120" t="s">
        <v>1039</v>
      </c>
      <c r="B120" t="s">
        <v>1043</v>
      </c>
      <c r="C120" s="1">
        <f>0.5*24*('TYPE1-AbutMENT Drawing'!$G$8-500)/1000*('TYPE1-AbutMENT Drawing'!$G$6-'TYPE1-AbutMENT Drawing'!$G$10-'TYPE1-AbutMENT Drawing'!$G$12)/1000</f>
        <v>63.12000000000024</v>
      </c>
      <c r="D120" t="s">
        <v>114</v>
      </c>
      <c r="E120" s="1">
        <f>0.5+(2/3*('TYPE1-AbutMENT Drawing'!$G$8/1000-0.5))</f>
        <v>1.8333333333333333</v>
      </c>
      <c r="F120">
        <f>C120*E120</f>
        <v>115.72000000000044</v>
      </c>
      <c r="G120" t="s">
        <v>114</v>
      </c>
    </row>
    <row r="121" ht="15.75" customHeight="1">
      <c r="B121" t="s">
        <f>CONCATENATE("1/2x",('TYPE1-AbutMENT Drawing'!$G$8-500)/1000,"x",('TYPE1-AbutMENT Drawing'!$G$6-'TYPE1-AbutMENT Drawing'!$G$12-'TYPE1-AbutMENT Drawing'!$G10)/1000,"x",24,"=")</f>
        <v>1044</v>
      </c>
    </row>
    <row r="122" ht="15" customHeight="1">
      <c r="A122" t="s">
        <v>1039</v>
      </c>
      <c r="B122" t="s">
        <v>1045</v>
      </c>
      <c r="C122" s="1">
        <f>0.5*24*('TYPE1-AbutMENT Drawing'!$G$7-500)/1000*('TYPE1-AbutMENT Drawing'!$G$6-'TYPE1-AbutMENT Drawing'!$G$10-'TYPE1-AbutMENT Drawing'!$G$12)/1000</f>
        <v>126.24000000000048</v>
      </c>
      <c r="D122" t="s">
        <v>114</v>
      </c>
      <c r="E122" s="1">
        <f>'TYPE1-AbutMENT Drawing'!$M$33/1000-0.5-(2/3*('TYPE1-AbutMENT Drawing'!$G$7/1000-0.5))</f>
        <v>4.883333333333335</v>
      </c>
      <c r="F122">
        <f>C122*E122</f>
        <v>616.4720000000025</v>
      </c>
      <c r="G122" t="s">
        <v>114</v>
      </c>
    </row>
    <row r="123" ht="15.75" customHeight="1">
      <c r="B123" t="s">
        <f>CONCATENATE("1/2x",('TYPE1-AbutMENT Drawing'!$G$7-500)/1000,"x",('TYPE1-AbutMENT Drawing'!$G$6-'TYPE1-AbutMENT Drawing'!$G$12-'TYPE1-AbutMENT Drawing'!$G12)/1000,"x",24,"=")</f>
        <v>1046</v>
      </c>
    </row>
    <row r="124" ht="30" customHeight="1">
      <c r="A124" t="s">
        <v>1047</v>
      </c>
      <c r="B124" t="s">
        <v>1048</v>
      </c>
      <c r="C124">
        <f>ROUNDUP((0.5*('TYPE1-AbutMENT Drawing'!$B$21-'TYPE1-AbutMENT Drawing'!$W$30)/1000* $E$9),2)</f>
        <v>34.48</v>
      </c>
      <c r="D124" t="s">
        <v>114</v>
      </c>
      <c r="E124">
        <f>'TYPE1-AbutMENT Drawing'!$M$33/1000-0.25</f>
        <v>7.800000000000001</v>
      </c>
      <c r="F124">
        <f>C124*E124</f>
        <v>268.944</v>
      </c>
      <c r="G124" t="s">
        <v>114</v>
      </c>
    </row>
    <row r="125" ht="15.75" customHeight="1">
      <c r="B125" t="s">
        <f>CONCATENATE(0.5," x ",('TYPE1-AbutMENT Drawing'!B21-'TYPE1-AbutMENT Drawing'!W30)/1000," x ", E9,"=")</f>
        <v>1049</v>
      </c>
    </row>
    <row r="126" ht="30" customHeight="1">
      <c r="A126" t="s">
        <v>1047</v>
      </c>
      <c r="B126" t="s">
        <v>1050</v>
      </c>
      <c r="C126" s="1">
        <f>0.5*18*('TYPE1-AbutMENT Drawing'!$G$7-500)/1000*('TYPE1-AbutMENT Drawing'!$G$6-'TYPE1-AbutMENT Drawing'!$G$10-'TYPE1-AbutMENT Drawing'!$G$12)/1000</f>
        <v>94.68000000000036</v>
      </c>
      <c r="D126" t="s">
        <v>114</v>
      </c>
      <c r="E126" s="1">
        <f>'TYPE1-AbutMENT Drawing'!$M$33/1000-0.5-(1/3*('TYPE1-AbutMENT Drawing'!$G$7/1000-0.5))</f>
        <v>6.216666666666668</v>
      </c>
      <c r="F126">
        <f>C126*E126</f>
        <v>588.5940000000023</v>
      </c>
      <c r="G126" t="s">
        <v>114</v>
      </c>
    </row>
    <row r="127" ht="15.75" customHeight="1">
      <c r="B127" t="s">
        <f>CONCATENATE("1/2x",('TYPE1-AbutMENT Drawing'!$G$7-500)/1000,"x",('TYPE1-AbutMENT Drawing'!$G$6-'TYPE1-AbutMENT Drawing'!$G$12-'TYPE1-AbutMENT Drawing'!$G15)/1000,"x",18,"=")</f>
        <v>1051</v>
      </c>
    </row>
    <row r="128" ht="15.75" customHeight="1">
      <c r="A128" t="s">
        <v>1052</v>
      </c>
      <c r="B128" t="s">
        <v>1053</v>
      </c>
      <c r="C128" s="1">
        <f>ROUNDUP(SUM(C106:C127),3)</f>
        <v>907.587</v>
      </c>
      <c r="F128" s="1">
        <f>ROUNDUP(SUM(F106:F127),3)</f>
        <v>3855.154</v>
      </c>
      <c r="G128" s="1">
        <f>ROUNDUP(SUM(G106:G127),3)</f>
        <v>419.06399999999996</v>
      </c>
    </row>
    <row r="129" ht="16.5" customHeight="1">
      <c r="B129" t="s">
        <v>1054</v>
      </c>
    </row>
    <row r="130" ht="15" customHeight="1">
      <c r="A130" t="s">
        <v>1055</v>
      </c>
      <c r="B130" t="s">
        <v>1056</v>
      </c>
      <c r="C130" s="1">
        <f>D14</f>
        <v>93.84123182207014</v>
      </c>
      <c r="D130" t="s">
        <v>114</v>
      </c>
      <c r="E130">
        <f>('TYPE1-AbutMENT Drawing'!S32+('TYPE1-AbutMENT Drawing'!O32-'TYPE1-AbutMENT Drawing'!M13)/2)/1000</f>
        <v>2.875</v>
      </c>
      <c r="F130">
        <f>C130*E130</f>
        <v>269.79354148845164</v>
      </c>
      <c r="G130" t="s">
        <v>114</v>
      </c>
    </row>
    <row r="131" ht="15.75" customHeight="1">
      <c r="B131" t="s">
        <v>1057</v>
      </c>
    </row>
    <row r="132" ht="16.5" customHeight="1">
      <c r="A132" t="s">
        <v>1058</v>
      </c>
      <c r="B132" t="s">
        <v>1059</v>
      </c>
      <c r="C132" s="1">
        <f>E39</f>
        <v>2.612612612612612</v>
      </c>
      <c r="D132" t="s">
        <v>114</v>
      </c>
      <c r="E132">
        <f>E106</f>
        <v>2.88</v>
      </c>
      <c r="F132" s="2">
        <f>C132*E132</f>
        <v>7.524324324324323</v>
      </c>
      <c r="G132" t="s">
        <v>114</v>
      </c>
    </row>
    <row r="133" ht="16.5" customHeight="1">
      <c r="A133" t="s">
        <v>1060</v>
      </c>
      <c r="B133" t="s">
        <v>1061</v>
      </c>
      <c r="C133" s="1">
        <v>0</v>
      </c>
      <c r="D133" s="1">
        <f>G24</f>
        <v>11.91</v>
      </c>
      <c r="E133" s="1">
        <f>ROUNDUP(('TYPE1-AbutMENT Drawing'!$B$21-'TYPE1-AbutMENT Drawing'!$K$17)/1000,2)</f>
        <v>4.39</v>
      </c>
      <c r="G133">
        <f>D133*E133</f>
        <v>52.28489999999999</v>
      </c>
    </row>
    <row r="134" ht="15.75" customHeight="1">
      <c r="A134" t="s">
        <v>1062</v>
      </c>
      <c r="B134" t="s">
        <v>1063</v>
      </c>
      <c r="C134" s="1">
        <f>ROUNDUP(SUM(C128:C133),3)</f>
        <v>1004.0409999999999</v>
      </c>
      <c r="D134" s="1">
        <f>SUM(D106:D133)</f>
        <v>194.40030034325</v>
      </c>
      <c r="E134" t="s">
        <v>114</v>
      </c>
      <c r="F134" s="1">
        <f>ROUNDUP(SUM(F128:F133),3)</f>
        <v>4132.472</v>
      </c>
      <c r="G134" s="1">
        <f>ROUNDUP(SUM(G128:G133),3)</f>
        <v>471.349</v>
      </c>
    </row>
    <row r="135" ht="16.5" customHeight="1">
      <c r="B135" t="s">
        <v>1064</v>
      </c>
    </row>
    <row r="136" ht="15.75" customHeight="1">
      <c r="B136" t="s">
        <v>1065</v>
      </c>
      <c r="C136" s="1">
        <f>F134</f>
        <v>4132.472</v>
      </c>
      <c r="D136" t="s">
        <v>114</v>
      </c>
      <c r="E136" s="1">
        <f>G134</f>
        <v>471.349</v>
      </c>
      <c r="F136" t="s">
        <v>31</v>
      </c>
      <c r="G136" s="1">
        <f>C136-E136</f>
        <v>3661.1229999999996</v>
      </c>
    </row>
    <row r="137" ht="15.75" customHeight="1"/>
    <row r="138" ht="15" customHeight="1">
      <c r="B138" t="s">
        <v>1066</v>
      </c>
      <c r="C138">
        <f>F100</f>
        <v>160.06</v>
      </c>
      <c r="D138" t="s">
        <v>1067</v>
      </c>
      <c r="E138" s="1">
        <f>'STABILITY CHECK FOR PIER'!E17*10</f>
        <v>200</v>
      </c>
      <c r="F138" t="s">
        <v>1068</v>
      </c>
    </row>
    <row r="139" ht="15" customHeight="1">
      <c r="B139" t="s">
        <v>1069</v>
      </c>
      <c r="C139">
        <f>F101</f>
        <v>89.4</v>
      </c>
      <c r="D139" t="s">
        <v>1070</v>
      </c>
    </row>
    <row r="140" ht="15.75" customHeight="1">
      <c r="A140" t="s">
        <v>1071</v>
      </c>
    </row>
    <row r="141" ht="15" customHeight="1">
      <c r="B141" t="s">
        <v>1072</v>
      </c>
    </row>
    <row r="142" ht="15" customHeight="1">
      <c r="B142" t="s">
        <v>1073</v>
      </c>
      <c r="C142" s="1">
        <f>D134</f>
        <v>194.40030034325</v>
      </c>
      <c r="D142" t="s">
        <v>1074</v>
      </c>
    </row>
    <row r="143" ht="15" customHeight="1">
      <c r="B143" t="s">
        <v>1075</v>
      </c>
      <c r="C143">
        <v>0.6</v>
      </c>
      <c r="D143" t="s">
        <v>177</v>
      </c>
      <c r="E143" s="1">
        <f>C134</f>
        <v>1004.0409999999999</v>
      </c>
      <c r="F143" t="s">
        <v>124</v>
      </c>
      <c r="G143">
        <f>ROUNDUP(C143*E143,2)</f>
        <v>602.43</v>
      </c>
      <c r="H143" t="s">
        <v>182</v>
      </c>
    </row>
    <row r="144" ht="15" customHeight="1">
      <c r="B144" t="s">
        <v>1076</v>
      </c>
      <c r="C144">
        <f>G143</f>
        <v>602.43</v>
      </c>
      <c r="D144" t="s">
        <v>1077</v>
      </c>
      <c r="E144" s="1">
        <f>C142</f>
        <v>194.40030034325</v>
      </c>
      <c r="F144" t="s">
        <v>124</v>
      </c>
      <c r="G144">
        <f>ROUND(C144/E144,2)</f>
        <v>3.1</v>
      </c>
    </row>
    <row r="145" ht="15.75" customHeight="1">
      <c r="A145" t="s">
        <v>1078</v>
      </c>
      <c r="G145" t="s">
        <v>992</v>
      </c>
    </row>
    <row r="146" ht="15" customHeight="1">
      <c r="B146" t="s">
        <v>1079</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1080</v>
      </c>
    </row>
    <row r="2">
      <c r="A2" t="s">
        <f>'TYPE1-STABILITY CHECK ABUTMENT'!A2</f>
        <v>26</v>
      </c>
    </row>
    <row r="3">
      <c r="A3" t="s">
        <v>1081</v>
      </c>
    </row>
    <row r="4">
      <c r="A4" t="s">
        <v>488</v>
      </c>
    </row>
    <row r="5" ht="15.75" customHeight="1">
      <c r="B5" t="s">
        <v>489</v>
      </c>
      <c r="C5" t="s">
        <v>490</v>
      </c>
      <c r="D5" s="1">
        <f>15+'TYPE1-AbutMENT Drawing'!K7/1000+'TYPE1-AbutMENT Drawing'!K8/1000</f>
        <v>17</v>
      </c>
      <c r="E5" t="s">
        <v>63</v>
      </c>
    </row>
    <row r="6" ht="15.75" customHeight="1">
      <c r="B6" t="s">
        <v>491</v>
      </c>
      <c r="C6" t="s">
        <v>492</v>
      </c>
      <c r="D6" s="1">
        <f>'TYPE1- Abut Footing STRESS'!D18</f>
        <v>8.05</v>
      </c>
      <c r="E6" t="s">
        <v>63</v>
      </c>
    </row>
    <row r="7">
      <c r="B7" t="s">
        <v>1082</v>
      </c>
      <c r="D7" s="1">
        <f>D6-('TYPE1-AbutMENT Drawing'!K7+'TYPE1-AbutMENT Drawing'!K8)/1000</f>
        <v>6.050000000000001</v>
      </c>
      <c r="E7" t="s">
        <v>63</v>
      </c>
    </row>
    <row r="8">
      <c r="B8" t="s">
        <v>494</v>
      </c>
      <c r="C8" t="s">
        <v>38</v>
      </c>
      <c r="D8" s="1">
        <f>'TYPE1-STABILITY CHECK ABUTMENT'!C134</f>
        <v>1004.0409999999999</v>
      </c>
      <c r="E8" t="s">
        <v>182</v>
      </c>
    </row>
    <row r="9" ht="15.75" customHeight="1">
      <c r="B9" t="s">
        <v>495</v>
      </c>
      <c r="C9" t="s">
        <v>496</v>
      </c>
      <c r="D9" s="1">
        <f>'TYPE1-STABILITY CHECK ABUTMENT'!G136</f>
        <v>3661.1229999999996</v>
      </c>
      <c r="E9" t="s">
        <v>301</v>
      </c>
    </row>
    <row r="10" ht="15.75" customHeight="1">
      <c r="B10" t="s">
        <v>497</v>
      </c>
      <c r="C10" t="s">
        <v>498</v>
      </c>
      <c r="D10" s="1">
        <v>0</v>
      </c>
      <c r="E10" t="s">
        <v>301</v>
      </c>
    </row>
    <row r="11" hidden="1" ht="15.75" customHeight="1">
      <c r="B11" t="s">
        <v>499</v>
      </c>
      <c r="C11" t="s">
        <v>500</v>
      </c>
      <c r="D11" s="1">
        <f>D9/D8</f>
        <v>3.6463879463089652</v>
      </c>
      <c r="E11" t="s">
        <v>63</v>
      </c>
    </row>
    <row r="12" hidden="1" ht="15.75" customHeight="1">
      <c r="B12" t="s">
        <v>501</v>
      </c>
      <c r="C12" t="s">
        <v>502</v>
      </c>
      <c r="D12" s="1">
        <f>D10/D8</f>
        <v>0</v>
      </c>
      <c r="E12" t="s">
        <v>63</v>
      </c>
    </row>
    <row r="13" hidden="1" ht="15.75" customHeight="1">
      <c r="B13" s="1" t="s">
        <v>503</v>
      </c>
      <c r="D13" s="1">
        <f>D11/D5</f>
        <v>0.21449340860640972</v>
      </c>
      <c r="E13" s="1" t="s">
        <v>504</v>
      </c>
    </row>
    <row r="14" hidden="1" ht="15.75" customHeight="1">
      <c r="B14" s="1" t="s">
        <v>505</v>
      </c>
      <c r="D14" s="1">
        <f>D12/D6</f>
        <v>0</v>
      </c>
    </row>
    <row r="15" hidden="1" ht="12.75" customHeight="1">
      <c r="B15" s="1" t="s">
        <v>506</v>
      </c>
      <c r="D15" s="1">
        <v>1</v>
      </c>
    </row>
    <row r="16" hidden="1">
      <c r="B16" s="1" t="s">
        <v>507</v>
      </c>
      <c r="D16" s="1">
        <v>0</v>
      </c>
    </row>
    <row r="17" ht="15.75" customHeight="1">
      <c r="B17" t="s">
        <v>508</v>
      </c>
      <c r="E17" s="1">
        <f>D6*D16</f>
        <v>0</v>
      </c>
      <c r="F17" s="1" t="s">
        <v>367</v>
      </c>
      <c r="G17" s="1">
        <f>E17/D6*100</f>
        <v>0</v>
      </c>
      <c r="H17" t="s">
        <v>249</v>
      </c>
    </row>
    <row r="18" ht="14.25" customHeight="1">
      <c r="B18" t="s">
        <v>509</v>
      </c>
      <c r="E18" s="1">
        <f>'TYPE1-STABILITY CHECK ABUTMENT'!F100</f>
        <v>160.06</v>
      </c>
      <c r="F18" s="1" t="s">
        <v>258</v>
      </c>
    </row>
    <row r="19" ht="14.25" customHeight="1">
      <c r="B19" t="s">
        <v>510</v>
      </c>
      <c r="E19" s="1">
        <f>E18*D15</f>
        <v>160.06</v>
      </c>
      <c r="F19" s="1" t="s">
        <v>258</v>
      </c>
    </row>
    <row r="20" ht="14.25" customHeight="1">
      <c r="B20" t="s">
        <v>511</v>
      </c>
      <c r="E20" s="1">
        <f>E19</f>
        <v>160.06</v>
      </c>
      <c r="F20" s="1" t="s">
        <v>258</v>
      </c>
    </row>
    <row r="21" ht="15" customHeight="1">
      <c r="B21" t="s">
        <v>512</v>
      </c>
      <c r="E21" s="1">
        <f>'TYPE1- Abut Footing STRESS'!F8</f>
        <v>1</v>
      </c>
      <c r="F21" s="2" t="s">
        <v>63</v>
      </c>
    </row>
    <row r="22" ht="14.25" customHeight="1">
      <c r="B22" t="s">
        <v>513</v>
      </c>
      <c r="E22" s="1">
        <f>(D6-E17-E21)*E20/(D6-E17)</f>
        <v>140.17677018633543</v>
      </c>
      <c r="F22" s="1" t="s">
        <v>258</v>
      </c>
    </row>
    <row r="23" ht="14.25" customHeight="1">
      <c r="B23" t="s">
        <v>514</v>
      </c>
      <c r="E23" s="1">
        <f>(E20+E22)/2</f>
        <v>150.11838509316772</v>
      </c>
      <c r="F23" s="1" t="s">
        <v>258</v>
      </c>
    </row>
    <row r="24" ht="14.25" customHeight="1">
      <c r="B24" t="s">
        <v>515</v>
      </c>
      <c r="E24" s="1">
        <f>E21*1</f>
        <v>1</v>
      </c>
      <c r="F24" s="1" t="s">
        <v>367</v>
      </c>
    </row>
    <row r="25" ht="25.5" customHeight="1">
      <c r="B25" t="s">
        <v>516</v>
      </c>
      <c r="E25" s="1">
        <f>E21/3*(E22+2*E20)/(E20+E22)</f>
        <v>0.5110375275938189</v>
      </c>
      <c r="F25" s="2" t="s">
        <v>63</v>
      </c>
    </row>
    <row r="26">
      <c r="B26" t="s">
        <v>517</v>
      </c>
      <c r="E26" s="1">
        <f>E23*E24*E25</f>
        <v>76.71612836438923</v>
      </c>
      <c r="F26" s="1" t="s">
        <v>301</v>
      </c>
    </row>
    <row r="27">
      <c r="B27" t="s">
        <v>518</v>
      </c>
      <c r="E27" t="s">
        <v>405</v>
      </c>
    </row>
    <row r="28">
      <c r="B28" t="s">
        <v>519</v>
      </c>
      <c r="E28">
        <v>10</v>
      </c>
      <c r="F28" t="s">
        <v>210</v>
      </c>
    </row>
    <row r="29">
      <c r="B29" t="s">
        <v>63</v>
      </c>
      <c r="E29" s="1">
        <f>280/(3*E28)</f>
        <v>9.333333333333334</v>
      </c>
    </row>
    <row r="30">
      <c r="B30" t="s">
        <v>520</v>
      </c>
      <c r="E30">
        <v>200</v>
      </c>
    </row>
    <row r="31">
      <c r="B31" t="s">
        <v>521</v>
      </c>
      <c r="E31" s="2">
        <f>(E29*E28)/(E28*E29+E30)</f>
        <v>0.3181818181818182</v>
      </c>
    </row>
    <row r="32">
      <c r="B32" t="s">
        <v>522</v>
      </c>
      <c r="E32" s="2">
        <f>1-(E31/3)</f>
        <v>0.8939393939393939</v>
      </c>
    </row>
    <row r="33">
      <c r="B33" t="s">
        <v>151</v>
      </c>
      <c r="E33" s="2">
        <f>0.5*E28*E32*E31</f>
        <v>1.4221763085399448</v>
      </c>
    </row>
    <row r="34">
      <c r="B34" t="s">
        <v>523</v>
      </c>
      <c r="E34" s="4">
        <f>SQRT((E26*1000*1000)/(E33*1000))</f>
        <v>232.25582703938719</v>
      </c>
      <c r="F34" t="s">
        <v>208</v>
      </c>
    </row>
    <row r="35">
      <c r="B35" t="s">
        <v>524</v>
      </c>
      <c r="E35" s="4">
        <v>1000</v>
      </c>
      <c r="F35" t="s">
        <v>208</v>
      </c>
    </row>
    <row r="36">
      <c r="B36" t="s">
        <v>525</v>
      </c>
      <c r="E36" s="4">
        <v>50</v>
      </c>
      <c r="F36" t="s">
        <v>208</v>
      </c>
    </row>
    <row r="37">
      <c r="B37" t="s">
        <v>526</v>
      </c>
      <c r="E37" s="4">
        <v>16</v>
      </c>
      <c r="F37" t="s">
        <v>208</v>
      </c>
    </row>
    <row r="38">
      <c r="B38" t="s">
        <v>527</v>
      </c>
      <c r="E38" s="4">
        <f>E35-E36-E37/2</f>
        <v>942</v>
      </c>
      <c r="F38" t="s">
        <v>208</v>
      </c>
    </row>
    <row r="39">
      <c r="B39" t="s">
        <v>528</v>
      </c>
      <c r="E39">
        <f>IF(E34&gt;E38,E34,E38)</f>
        <v>942</v>
      </c>
      <c r="F39" t="s">
        <v>208</v>
      </c>
    </row>
    <row r="40" ht="14.25" customHeight="1">
      <c r="B40" t="s">
        <v>529</v>
      </c>
      <c r="E40" s="4">
        <f>(E26*1000*1000)/(E30*E32*E39)</f>
        <v>455.50977653475206</v>
      </c>
      <c r="F40" t="s">
        <v>435</v>
      </c>
    </row>
    <row r="41" ht="14.25" customHeight="1">
      <c r="B41" t="s">
        <v>530</v>
      </c>
      <c r="E41" s="4">
        <f>3.14*E37*E37/4</f>
        <v>200.96</v>
      </c>
      <c r="F41" t="s">
        <v>435</v>
      </c>
    </row>
    <row r="42">
      <c r="B42" t="s">
        <v>531</v>
      </c>
      <c r="E42" s="4">
        <f>(E41*1000)/E40</f>
        <v>441.17604133282134</v>
      </c>
      <c r="F42" t="s">
        <v>208</v>
      </c>
    </row>
    <row r="43">
      <c r="B43" t="s">
        <v>532</v>
      </c>
      <c r="C43" s="4">
        <f>E37</f>
        <v>16</v>
      </c>
      <c r="D43" t="s">
        <v>208</v>
      </c>
      <c r="E43" s="4">
        <v>150</v>
      </c>
      <c r="F43" t="s">
        <v>208</v>
      </c>
      <c r="G43" t="s">
        <v>1083</v>
      </c>
    </row>
    <row r="44" ht="14.25" customHeight="1">
      <c r="B44" t="s">
        <v>534</v>
      </c>
      <c r="E44" s="4">
        <f>(0.2*1000*E39)/100</f>
        <v>1884</v>
      </c>
      <c r="F44" t="s">
        <v>435</v>
      </c>
    </row>
    <row r="45" ht="21" customHeight="1">
      <c r="B45" t="s">
        <v>535</v>
      </c>
      <c r="E45">
        <v>20</v>
      </c>
      <c r="F45" t="s">
        <v>208</v>
      </c>
    </row>
    <row r="46" ht="14.25" customHeight="1">
      <c r="B46" t="s">
        <v>536</v>
      </c>
      <c r="E46">
        <f>3.14*E45*E45/4</f>
        <v>314</v>
      </c>
      <c r="F46" t="s">
        <v>435</v>
      </c>
    </row>
    <row r="47">
      <c r="B47" t="s">
        <v>537</v>
      </c>
      <c r="E47" s="4">
        <f>(E46*1000)/E44</f>
        <v>166.66666666666666</v>
      </c>
      <c r="F47" t="s">
        <v>208</v>
      </c>
    </row>
    <row r="48">
      <c r="B48" t="s">
        <v>532</v>
      </c>
      <c r="C48">
        <v>16</v>
      </c>
      <c r="D48" t="s">
        <v>208</v>
      </c>
      <c r="E48">
        <f>ROUNDDOWN(E47,-1)</f>
        <v>160</v>
      </c>
      <c r="F48" t="s">
        <v>208</v>
      </c>
      <c r="G48" t="s">
        <v>1083</v>
      </c>
    </row>
    <row r="49"/>
    <row r="50" ht="25.5" customHeight="1">
      <c r="B50" t="s">
        <v>538</v>
      </c>
      <c r="C50">
        <v>12</v>
      </c>
      <c r="D50" t="s">
        <v>208</v>
      </c>
      <c r="E50">
        <v>150</v>
      </c>
      <c r="F50" t="s">
        <v>208</v>
      </c>
    </row>
    <row r="51" ht="25.5" customHeight="1">
      <c r="B51" t="s">
        <v>539</v>
      </c>
      <c r="C51">
        <v>12</v>
      </c>
      <c r="D51" t="s">
        <v>208</v>
      </c>
      <c r="E51">
        <v>150</v>
      </c>
      <c r="F51" t="s">
        <v>208</v>
      </c>
    </row>
    <row r="52" ht="14.25" customHeight="1">
      <c r="A52" t="s">
        <v>540</v>
      </c>
      <c r="C52" t="s">
        <v>541</v>
      </c>
    </row>
    <row r="53">
      <c r="B53" t="s">
        <v>542</v>
      </c>
      <c r="E53">
        <f>E39</f>
        <v>942</v>
      </c>
      <c r="F53" t="s">
        <v>208</v>
      </c>
    </row>
    <row r="54">
      <c r="B54" t="s">
        <v>543</v>
      </c>
      <c r="E54" s="1">
        <f>E21-E53/1000</f>
        <v>0.05800000000000005</v>
      </c>
      <c r="F54" t="s">
        <v>63</v>
      </c>
    </row>
    <row r="55" ht="14.25" customHeight="1">
      <c r="B55" t="s">
        <v>511</v>
      </c>
      <c r="E55" s="1">
        <f>E20</f>
        <v>160.06</v>
      </c>
      <c r="F55" s="1" t="s">
        <v>258</v>
      </c>
    </row>
    <row r="56" ht="14.25" customHeight="1">
      <c r="B56" t="s">
        <v>544</v>
      </c>
      <c r="E56" s="1">
        <f>E55/('[7]STRESS DIAGRAM'!D18-'[7]STRESS DIAGRAM'!B21)*(-'TYPE1-ABUTMENT FOOTING DESIGN'!E54+'[7]STRESS DIAGRAM'!D18-'[7]STRESS DIAGRAM'!B21)</f>
        <v>157.48125555555555</v>
      </c>
      <c r="F56" s="1" t="s">
        <v>258</v>
      </c>
    </row>
    <row r="57" ht="14.25" customHeight="1">
      <c r="B57" t="s">
        <v>514</v>
      </c>
      <c r="E57" s="1">
        <f>(E55+E56)/2</f>
        <v>158.77062777777778</v>
      </c>
      <c r="F57" s="1" t="s">
        <v>258</v>
      </c>
    </row>
    <row r="58">
      <c r="B58" t="s">
        <v>545</v>
      </c>
      <c r="E58" s="1">
        <f>E57*E54</f>
        <v>9.20869641111112</v>
      </c>
      <c r="F58" t="s">
        <v>182</v>
      </c>
    </row>
    <row r="59">
      <c r="B59" t="s">
        <v>546</v>
      </c>
      <c r="C59" t="s">
        <v>547</v>
      </c>
    </row>
    <row r="60" ht="14.25" customHeight="1">
      <c r="B60" t="s">
        <v>548</v>
      </c>
      <c r="E60" s="1">
        <f>E58*1000/E53/1000</f>
        <v>0.009775686211370616</v>
      </c>
      <c r="F60" s="1" t="s">
        <v>210</v>
      </c>
    </row>
    <row r="61">
      <c r="B61" t="s">
        <v>549</v>
      </c>
      <c r="C61" t="s">
        <v>550</v>
      </c>
      <c r="E61" s="1">
        <f>100*E41*(1000/E43)/(1000*E39)</f>
        <v>0.14222222222222222</v>
      </c>
    </row>
    <row r="62" ht="14.25" customHeight="1">
      <c r="B62" t="s">
        <v>551</v>
      </c>
      <c r="E62" s="1">
        <v>0.23</v>
      </c>
      <c r="F62" s="1" t="s">
        <v>210</v>
      </c>
    </row>
    <row r="63">
      <c r="B63" t="s">
        <v>552</v>
      </c>
    </row>
    <row r="64" ht="14.25" customHeight="1">
      <c r="B64" t="s">
        <v>553</v>
      </c>
      <c r="E64" s="1">
        <f>E62</f>
        <v>0.23</v>
      </c>
      <c r="F64" s="1" t="s">
        <v>210</v>
      </c>
    </row>
    <row r="65" ht="26.25" customHeight="1">
      <c r="D65" t="s">
        <v>554</v>
      </c>
    </row>
    <row r="66" ht="21" customHeight="1">
      <c r="B66" t="s">
        <v>555</v>
      </c>
      <c r="E66">
        <v>16</v>
      </c>
      <c r="F66" t="s">
        <v>208</v>
      </c>
    </row>
    <row r="67" ht="14.25" customHeight="1">
      <c r="B67" t="s">
        <v>536</v>
      </c>
      <c r="E67" s="4">
        <f>3.14*E66*E66/4</f>
        <v>200.96</v>
      </c>
      <c r="F67" t="s">
        <v>435</v>
      </c>
    </row>
    <row r="68">
      <c r="B68" t="s">
        <v>556</v>
      </c>
      <c r="E68" s="4">
        <f>2*E67*E30*E39/(E58*1000)</f>
        <v>8222.849860555174</v>
      </c>
      <c r="F68" t="s">
        <v>208</v>
      </c>
    </row>
    <row r="69">
      <c r="B69" t="s">
        <v>532</v>
      </c>
      <c r="C69">
        <f>E66</f>
        <v>16</v>
      </c>
      <c r="D69" t="s">
        <v>208</v>
      </c>
      <c r="E69">
        <v>150</v>
      </c>
      <c r="F69" t="s">
        <v>208</v>
      </c>
      <c r="G69" t="s">
        <v>1083</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63</v>
      </c>
    </row>
    <row r="8">
      <c r="B8" s="1">
        <f>'TYPE1-AbutMENT Drawing'!K7/1000</f>
        <v>1</v>
      </c>
      <c r="C8" t="s">
        <v>63</v>
      </c>
      <c r="F8" s="1">
        <f>'TYPE1-AbutMENT Drawing'!K8/1000</f>
        <v>1</v>
      </c>
      <c r="G8" t="s">
        <v>63</v>
      </c>
    </row>
    <row r="18">
      <c r="D18" s="1">
        <f>'TYPE1-AbutMENT Drawing'!M33/1000</f>
        <v>8.05</v>
      </c>
      <c r="E18" t="s">
        <v>63</v>
      </c>
    </row>
    <row r="21">
      <c r="B21" s="1">
        <v>258.56357441323684</v>
      </c>
      <c r="C21" t="s">
        <v>63</v>
      </c>
    </row>
    <row r="22"/>
    <row r="25">
      <c r="E25" s="1">
        <f>'TYPE1-ABUTMENT FOOTING DESIGN'!E56</f>
        <v>157.48125555555555</v>
      </c>
    </row>
    <row r="26" ht="14.25" customHeight="1">
      <c r="E26" s="1" t="s">
        <v>258</v>
      </c>
      <c r="G26" s="1">
        <f>'TYPE1-ABUTMENT FOOTING DESIGN'!E55</f>
        <v>160.06</v>
      </c>
      <c r="H26" s="1" t="s">
        <v>258</v>
      </c>
    </row>
    <row r="29">
      <c r="D29" t="s">
        <v>557</v>
      </c>
    </row>
    <row r="31">
      <c r="A31" t="s">
        <v>1080</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1084</v>
      </c>
    </row>
    <row r="2" ht="30" customHeight="1">
      <c r="A2" t="s">
        <f>'TYPE1-STABILITY CHECK ABUTMENT'!A2</f>
        <v>26</v>
      </c>
    </row>
    <row r="3">
      <c r="A3" t="s">
        <v>688</v>
      </c>
    </row>
    <row r="4">
      <c r="A4" t="s">
        <v>689</v>
      </c>
    </row>
    <row r="5" ht="14.25" customHeight="1">
      <c r="B5" t="s">
        <v>1085</v>
      </c>
      <c r="E5" s="4">
        <v>250</v>
      </c>
      <c r="F5" t="s">
        <v>435</v>
      </c>
    </row>
    <row r="6" ht="14.25" customHeight="1">
      <c r="B6" t="s">
        <v>530</v>
      </c>
      <c r="C6">
        <v>12</v>
      </c>
      <c r="D6" t="s">
        <v>1086</v>
      </c>
      <c r="E6" s="4">
        <f>3.14*C6*C6/4</f>
        <v>113.03999999999999</v>
      </c>
      <c r="F6" t="s">
        <v>435</v>
      </c>
    </row>
    <row r="7">
      <c r="B7" t="s">
        <v>531</v>
      </c>
      <c r="E7" s="4">
        <f>(E6*1000)/E5</f>
        <v>452.15999999999997</v>
      </c>
      <c r="F7" t="s">
        <v>208</v>
      </c>
    </row>
    <row r="8">
      <c r="B8" t="s">
        <v>532</v>
      </c>
      <c r="C8" s="4">
        <f>C6</f>
        <v>12</v>
      </c>
      <c r="D8" t="s">
        <v>208</v>
      </c>
      <c r="E8" s="4">
        <v>125</v>
      </c>
      <c r="F8" t="s">
        <v>208</v>
      </c>
    </row>
    <row r="9">
      <c r="B9" t="s">
        <v>532</v>
      </c>
      <c r="C9" s="4">
        <f>C8</f>
        <v>12</v>
      </c>
      <c r="D9" t="s">
        <v>208</v>
      </c>
      <c r="E9" s="4">
        <v>125</v>
      </c>
      <c r="F9" t="s">
        <v>208</v>
      </c>
    </row>
    <row r="10">
      <c r="B10" t="s">
        <v>1087</v>
      </c>
      <c r="D10" s="4">
        <v>12</v>
      </c>
      <c r="E10" s="4" t="s">
        <v>441</v>
      </c>
      <c r="F10" s="4">
        <f>E8</f>
        <v>125</v>
      </c>
      <c r="G10" s="4" t="s">
        <v>443</v>
      </c>
      <c r="H10" t="s">
        <v>1088</v>
      </c>
    </row>
    <row r="11">
      <c r="B11" t="s">
        <v>1089</v>
      </c>
      <c r="D11" s="4">
        <v>12</v>
      </c>
      <c r="E11" s="4" t="s">
        <v>441</v>
      </c>
      <c r="F11" s="4">
        <f>F10</f>
        <v>125</v>
      </c>
      <c r="G11" s="4" t="s">
        <v>443</v>
      </c>
      <c r="H11" t="s">
        <v>1090</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1091</v>
      </c>
    </row>
    <row r="2">
      <c r="A2" t="s">
        <f>'TYPE1-STABILITY CHECK ABUTMENT'!A2</f>
        <v>26</v>
      </c>
    </row>
    <row r="3">
      <c r="A3" t="s">
        <v>1092</v>
      </c>
    </row>
    <row r="4">
      <c r="A4" t="s">
        <v>638</v>
      </c>
    </row>
    <row r="5">
      <c r="A5" t="s">
        <v>639</v>
      </c>
      <c r="C5">
        <v>0.975</v>
      </c>
      <c r="D5" t="s">
        <v>177</v>
      </c>
      <c r="E5">
        <v>15</v>
      </c>
      <c r="F5" t="s">
        <v>640</v>
      </c>
      <c r="G5">
        <v>2.4</v>
      </c>
      <c r="H5" t="s">
        <v>31</v>
      </c>
      <c r="I5" s="1">
        <f>C5*E5*G5</f>
        <v>35.1</v>
      </c>
      <c r="J5" t="s">
        <v>608</v>
      </c>
    </row>
    <row r="6">
      <c r="A6" t="s">
        <v>641</v>
      </c>
      <c r="C6">
        <v>0.075</v>
      </c>
      <c r="D6" t="s">
        <v>177</v>
      </c>
      <c r="E6">
        <v>12</v>
      </c>
      <c r="F6" t="s">
        <v>640</v>
      </c>
      <c r="G6">
        <v>2.4</v>
      </c>
      <c r="H6" t="s">
        <v>31</v>
      </c>
      <c r="I6" s="1">
        <f>C6*E6*G6</f>
        <v>2.1599999999999997</v>
      </c>
      <c r="J6" t="s">
        <v>608</v>
      </c>
    </row>
    <row r="7">
      <c r="G7" t="s">
        <v>149</v>
      </c>
      <c r="I7" s="1">
        <f>SUM(I5:I6)</f>
        <v>37.26</v>
      </c>
      <c r="J7" t="s">
        <v>608</v>
      </c>
    </row>
    <row r="8">
      <c r="A8" t="s">
        <v>1093</v>
      </c>
      <c r="E8" t="s">
        <v>31</v>
      </c>
    </row>
    <row r="9">
      <c r="E9" s="1">
        <f>I7</f>
        <v>37.26</v>
      </c>
      <c r="F9" t="s">
        <v>85</v>
      </c>
      <c r="G9">
        <v>2</v>
      </c>
      <c r="H9" t="s">
        <v>31</v>
      </c>
      <c r="I9" s="1">
        <f>E9/G9</f>
        <v>18.63</v>
      </c>
      <c r="J9" t="s">
        <v>608</v>
      </c>
    </row>
    <row r="10">
      <c r="A10" t="s">
        <v>1094</v>
      </c>
    </row>
    <row r="11">
      <c r="D11" t="s">
        <v>644</v>
      </c>
      <c r="E11" s="1">
        <v>82.5</v>
      </c>
      <c r="F11" t="s">
        <v>177</v>
      </c>
      <c r="G11">
        <v>1.1375</v>
      </c>
      <c r="H11" t="s">
        <v>31</v>
      </c>
      <c r="I11" s="1">
        <f>E11*G11</f>
        <v>93.84375</v>
      </c>
      <c r="J11" t="s">
        <v>608</v>
      </c>
    </row>
    <row r="12">
      <c r="A12" t="s">
        <v>645</v>
      </c>
    </row>
    <row r="13">
      <c r="A13" t="s">
        <v>646</v>
      </c>
    </row>
    <row r="14">
      <c r="A14" t="s">
        <v>647</v>
      </c>
      <c r="D14" t="s">
        <v>648</v>
      </c>
      <c r="E14">
        <v>6.695</v>
      </c>
      <c r="F14" t="s">
        <v>70</v>
      </c>
    </row>
    <row r="15">
      <c r="A15" t="s">
        <v>649</v>
      </c>
    </row>
    <row r="16">
      <c r="A16" t="s">
        <v>1095</v>
      </c>
      <c r="D16" t="s">
        <v>644</v>
      </c>
      <c r="E16" s="1">
        <f>I11</f>
        <v>93.84375</v>
      </c>
      <c r="F16" t="s">
        <v>85</v>
      </c>
      <c r="G16">
        <f>E14</f>
        <v>6.695</v>
      </c>
      <c r="H16" t="s">
        <v>31</v>
      </c>
      <c r="I16" s="1">
        <f>E16/G16</f>
        <v>14.016990291262136</v>
      </c>
      <c r="J16" t="s">
        <v>608</v>
      </c>
    </row>
    <row r="17">
      <c r="B17" t="s">
        <v>651</v>
      </c>
    </row>
    <row r="18">
      <c r="A18" t="s">
        <v>652</v>
      </c>
      <c r="D18" s="1">
        <f>I9</f>
        <v>18.63</v>
      </c>
      <c r="E18" t="s">
        <v>126</v>
      </c>
      <c r="F18" s="1">
        <f>I16</f>
        <v>14.016990291262136</v>
      </c>
      <c r="H18" t="s">
        <v>31</v>
      </c>
      <c r="I18" s="1">
        <f>D18+F18</f>
        <v>32.646990291262135</v>
      </c>
      <c r="J18" t="s">
        <v>608</v>
      </c>
    </row>
    <row r="19">
      <c r="A19" t="s">
        <v>1096</v>
      </c>
      <c r="I19" t="s">
        <v>654</v>
      </c>
    </row>
    <row r="20">
      <c r="A20" t="s">
        <v>655</v>
      </c>
      <c r="D20">
        <f>90-2.5-1.25</f>
        <v>86.25</v>
      </c>
      <c r="E20" t="s">
        <v>656</v>
      </c>
    </row>
    <row r="21">
      <c r="A21" t="s">
        <v>657</v>
      </c>
    </row>
    <row r="22">
      <c r="A22" t="s">
        <v>658</v>
      </c>
      <c r="D22" t="s">
        <v>31</v>
      </c>
      <c r="E22">
        <f>71.25-37.5</f>
        <v>33.75</v>
      </c>
      <c r="F22" t="s">
        <v>656</v>
      </c>
      <c r="G22" t="s">
        <v>31</v>
      </c>
      <c r="H22" s="1">
        <f>E22/100</f>
        <v>0.3375</v>
      </c>
      <c r="I22" t="s">
        <v>70</v>
      </c>
    </row>
    <row r="23" ht="28.5" customHeight="1">
      <c r="A23" t="s">
        <v>659</v>
      </c>
      <c r="C23" s="1">
        <f>I18</f>
        <v>32.646990291262135</v>
      </c>
      <c r="D23" t="s">
        <v>69</v>
      </c>
      <c r="E23" s="1">
        <f>H22</f>
        <v>0.3375</v>
      </c>
      <c r="H23" s="1">
        <f>ROUNDUP(C23*E23,2)</f>
        <v>11.02</v>
      </c>
      <c r="I23" t="s">
        <v>660</v>
      </c>
    </row>
    <row r="24" ht="28.5" customHeight="1">
      <c r="B24" t="s">
        <v>31</v>
      </c>
      <c r="C24" s="1">
        <f>H23</f>
        <v>11.02</v>
      </c>
      <c r="D24" t="s">
        <v>69</v>
      </c>
      <c r="E24" s="1">
        <v>10</v>
      </c>
      <c r="F24" t="s">
        <v>31</v>
      </c>
      <c r="G24">
        <f>ROUNDUP(C24*10,2)</f>
        <v>110.2</v>
      </c>
      <c r="H24" t="s">
        <v>661</v>
      </c>
    </row>
    <row r="25">
      <c r="A25" t="s">
        <v>662</v>
      </c>
    </row>
    <row r="26">
      <c r="B26" t="s">
        <v>1097</v>
      </c>
      <c r="E26" s="1">
        <f>G24</f>
        <v>110.2</v>
      </c>
      <c r="F26" s="1" t="s">
        <v>301</v>
      </c>
    </row>
    <row r="27">
      <c r="B27" t="s">
        <v>518</v>
      </c>
      <c r="E27" t="s">
        <v>664</v>
      </c>
    </row>
    <row r="28">
      <c r="B28" t="s">
        <v>519</v>
      </c>
      <c r="E28">
        <v>10</v>
      </c>
      <c r="F28" t="s">
        <v>210</v>
      </c>
    </row>
    <row r="29">
      <c r="B29" t="s">
        <v>63</v>
      </c>
      <c r="E29" s="1">
        <f>280/(3*E28)</f>
        <v>9.333333333333334</v>
      </c>
    </row>
    <row r="30">
      <c r="B30" t="s">
        <v>520</v>
      </c>
      <c r="E30">
        <v>200</v>
      </c>
    </row>
    <row r="31">
      <c r="B31" t="s">
        <v>521</v>
      </c>
      <c r="E31" s="2">
        <f>(E29*E28)/(E28*E29+E30)</f>
        <v>0.3181818181818182</v>
      </c>
    </row>
    <row r="32">
      <c r="B32" t="s">
        <v>522</v>
      </c>
      <c r="E32" s="2">
        <f>1-(E31/3)</f>
        <v>0.8939393939393939</v>
      </c>
    </row>
    <row r="33">
      <c r="B33" t="s">
        <v>151</v>
      </c>
      <c r="E33" s="2">
        <f>0.5*E28*E32*E31</f>
        <v>1.4221763085399448</v>
      </c>
    </row>
    <row r="34">
      <c r="B34" t="s">
        <v>523</v>
      </c>
      <c r="E34" s="4">
        <f>SQRT((E26*1000*1000)/(E33*1000))</f>
        <v>278.364646665695</v>
      </c>
      <c r="F34" t="s">
        <v>208</v>
      </c>
    </row>
    <row r="35">
      <c r="B35" t="s">
        <v>524</v>
      </c>
      <c r="E35" s="4">
        <f>1200</f>
        <v>1200</v>
      </c>
      <c r="F35" t="s">
        <v>208</v>
      </c>
    </row>
    <row r="36">
      <c r="B36" t="s">
        <v>525</v>
      </c>
      <c r="E36" s="4">
        <v>50</v>
      </c>
      <c r="F36" t="s">
        <v>208</v>
      </c>
    </row>
    <row r="37">
      <c r="B37" t="s">
        <v>526</v>
      </c>
      <c r="E37" s="4">
        <v>25</v>
      </c>
      <c r="F37" t="s">
        <v>208</v>
      </c>
    </row>
    <row r="38">
      <c r="B38" t="s">
        <v>527</v>
      </c>
      <c r="E38" s="4">
        <f>E35-E36-E37/2</f>
        <v>1137.5</v>
      </c>
      <c r="F38" t="s">
        <v>208</v>
      </c>
    </row>
    <row r="39">
      <c r="B39" t="s">
        <v>528</v>
      </c>
      <c r="E39">
        <f>IF(E34&gt;E38,E34,E38)</f>
        <v>1137.5</v>
      </c>
      <c r="F39" t="s">
        <v>208</v>
      </c>
    </row>
    <row r="40" ht="14.25" customHeight="1">
      <c r="B40" t="s">
        <v>529</v>
      </c>
      <c r="E40" s="4">
        <f>(E26*1000*1000)/(E30*E32*E39)</f>
        <v>541.8662693238964</v>
      </c>
      <c r="F40" t="s">
        <v>435</v>
      </c>
    </row>
    <row r="41" ht="14.25" customHeight="1">
      <c r="B41" t="s">
        <v>530</v>
      </c>
      <c r="E41" s="4">
        <f>3.14*E37*E37/4</f>
        <v>490.625</v>
      </c>
      <c r="F41" t="s">
        <v>435</v>
      </c>
    </row>
    <row r="42">
      <c r="B42" t="s">
        <v>531</v>
      </c>
      <c r="E42" s="4">
        <f>(E41*1000)/E40</f>
        <v>905.4355802810318</v>
      </c>
      <c r="F42" t="s">
        <v>208</v>
      </c>
    </row>
    <row r="43">
      <c r="B43" t="s">
        <v>532</v>
      </c>
      <c r="C43" s="4">
        <f>E37</f>
        <v>25</v>
      </c>
      <c r="D43" t="s">
        <v>208</v>
      </c>
      <c r="E43" s="4">
        <v>100</v>
      </c>
      <c r="F43" t="s">
        <v>208</v>
      </c>
      <c r="G43" t="s">
        <v>665</v>
      </c>
    </row>
    <row r="44">
      <c r="B44" t="s">
        <v>538</v>
      </c>
      <c r="C44" s="4">
        <f>C43</f>
        <v>25</v>
      </c>
      <c r="D44" t="s">
        <v>208</v>
      </c>
      <c r="E44" s="4">
        <f>E43</f>
        <v>100</v>
      </c>
      <c r="F44" t="s">
        <v>208</v>
      </c>
    </row>
    <row r="45">
      <c r="B45" t="s">
        <v>666</v>
      </c>
      <c r="C45">
        <v>16</v>
      </c>
      <c r="D45" t="s">
        <v>208</v>
      </c>
      <c r="E45" s="4">
        <f>E44</f>
        <v>100</v>
      </c>
      <c r="F45" t="s">
        <v>208</v>
      </c>
    </row>
    <row r="46">
      <c r="A46" t="s">
        <v>1098</v>
      </c>
    </row>
    <row r="47">
      <c r="A47" t="s">
        <v>668</v>
      </c>
    </row>
    <row r="48">
      <c r="A48" t="s">
        <v>669</v>
      </c>
      <c r="C48">
        <v>0.975</v>
      </c>
      <c r="D48" t="s">
        <v>177</v>
      </c>
      <c r="E48">
        <v>15</v>
      </c>
      <c r="F48" t="s">
        <v>640</v>
      </c>
      <c r="G48">
        <v>2.4</v>
      </c>
      <c r="H48" t="s">
        <v>31</v>
      </c>
      <c r="I48" s="1">
        <f>C48*E48*G48</f>
        <v>35.1</v>
      </c>
      <c r="J48" t="s">
        <v>608</v>
      </c>
    </row>
    <row r="49">
      <c r="A49" t="s">
        <v>641</v>
      </c>
      <c r="C49">
        <v>0.075</v>
      </c>
      <c r="D49" t="s">
        <v>177</v>
      </c>
      <c r="E49">
        <v>12</v>
      </c>
      <c r="F49" t="s">
        <v>640</v>
      </c>
      <c r="G49">
        <v>2.4</v>
      </c>
      <c r="H49" t="s">
        <v>31</v>
      </c>
      <c r="I49" s="1">
        <f>C49*E49*G49</f>
        <v>2.1599999999999997</v>
      </c>
      <c r="J49" t="s">
        <v>608</v>
      </c>
    </row>
    <row r="50">
      <c r="G50" t="s">
        <v>149</v>
      </c>
      <c r="I50" s="1">
        <f>SUM(I48:I49)</f>
        <v>37.26</v>
      </c>
      <c r="J50" t="s">
        <v>608</v>
      </c>
    </row>
    <row r="51">
      <c r="A51" t="s">
        <v>1099</v>
      </c>
      <c r="E51" t="s">
        <v>31</v>
      </c>
    </row>
    <row r="52">
      <c r="E52" s="1">
        <f>I50</f>
        <v>37.26</v>
      </c>
      <c r="F52" t="s">
        <v>85</v>
      </c>
      <c r="G52">
        <v>2</v>
      </c>
      <c r="H52" t="s">
        <v>31</v>
      </c>
      <c r="I52" s="1">
        <f>E52/G52</f>
        <v>18.63</v>
      </c>
      <c r="J52" t="s">
        <v>671</v>
      </c>
    </row>
    <row r="53">
      <c r="A53" t="s">
        <v>1100</v>
      </c>
      <c r="E53" t="s">
        <v>673</v>
      </c>
      <c r="I53">
        <v>64.69</v>
      </c>
      <c r="J53" t="s">
        <v>608</v>
      </c>
    </row>
    <row r="55">
      <c r="A55" t="s">
        <v>674</v>
      </c>
    </row>
    <row r="56">
      <c r="A56" t="s">
        <v>675</v>
      </c>
      <c r="C56" t="s">
        <v>673</v>
      </c>
      <c r="D56">
        <v>5.3</v>
      </c>
      <c r="E56" t="s">
        <v>70</v>
      </c>
    </row>
    <row r="58">
      <c r="A58" t="s">
        <v>1101</v>
      </c>
      <c r="E58" s="1">
        <f>I53</f>
        <v>64.69</v>
      </c>
      <c r="F58" t="s">
        <v>85</v>
      </c>
      <c r="G58">
        <f>D56</f>
        <v>5.3</v>
      </c>
      <c r="H58" t="s">
        <v>31</v>
      </c>
      <c r="I58" s="1">
        <f>E58/G58</f>
        <v>12.205660377358491</v>
      </c>
      <c r="J58" t="s">
        <v>671</v>
      </c>
    </row>
    <row r="59">
      <c r="A59" t="s">
        <v>1102</v>
      </c>
      <c r="D59" s="1">
        <f>I52</f>
        <v>18.63</v>
      </c>
      <c r="E59" t="s">
        <v>126</v>
      </c>
      <c r="F59" s="1">
        <f>I58</f>
        <v>12.205660377358491</v>
      </c>
      <c r="H59" t="s">
        <v>31</v>
      </c>
      <c r="I59" s="1">
        <f>ROUNDUP((D59+F59),2)</f>
        <v>30.84</v>
      </c>
      <c r="J59" t="s">
        <v>608</v>
      </c>
    </row>
    <row r="60">
      <c r="A60" t="s">
        <v>678</v>
      </c>
      <c r="I60" t="s">
        <v>654</v>
      </c>
    </row>
    <row r="61">
      <c r="A61" t="s">
        <v>1103</v>
      </c>
    </row>
    <row r="62">
      <c r="A62" t="s">
        <v>680</v>
      </c>
    </row>
    <row r="63" ht="28.5" customHeight="1">
      <c r="A63" t="s">
        <v>681</v>
      </c>
      <c r="C63" s="1">
        <f>I59</f>
        <v>30.84</v>
      </c>
      <c r="D63" t="s">
        <v>69</v>
      </c>
      <c r="E63">
        <v>0</v>
      </c>
      <c r="H63" s="1">
        <f>C63*E63</f>
        <v>0</v>
      </c>
      <c r="I63" t="s">
        <v>660</v>
      </c>
    </row>
    <row r="64">
      <c r="A64" t="s">
        <v>682</v>
      </c>
    </row>
    <row r="65">
      <c r="A65" t="s">
        <v>1104</v>
      </c>
    </row>
    <row r="66">
      <c r="A66" t="s">
        <v>1105</v>
      </c>
    </row>
    <row r="67">
      <c r="A67" t="s">
        <v>685</v>
      </c>
    </row>
    <row r="68">
      <c r="A68" t="s">
        <v>1106</v>
      </c>
    </row>
    <row r="69">
      <c r="A69" t="s">
        <v>687</v>
      </c>
    </row>
    <row r="70">
      <c r="A70" t="s">
        <v>688</v>
      </c>
    </row>
    <row r="71">
      <c r="A71" t="s">
        <v>689</v>
      </c>
    </row>
    <row r="72" ht="14.25" customHeight="1">
      <c r="A72" t="s">
        <v>690</v>
      </c>
      <c r="F72">
        <v>250</v>
      </c>
      <c r="G72" t="s">
        <v>69</v>
      </c>
      <c r="H72">
        <v>1.2</v>
      </c>
      <c r="I72" t="s">
        <v>31</v>
      </c>
      <c r="J72">
        <f>F72*H72</f>
        <v>300</v>
      </c>
      <c r="K72" t="s">
        <v>435</v>
      </c>
    </row>
    <row r="73">
      <c r="A73" t="s">
        <v>1107</v>
      </c>
    </row>
    <row r="74">
      <c r="A74" t="s">
        <v>1108</v>
      </c>
    </row>
    <row r="75">
      <c r="A75" t="s">
        <v>693</v>
      </c>
    </row>
    <row r="76" ht="14.25" customHeight="1">
      <c r="A76" t="s">
        <v>694</v>
      </c>
      <c r="C76" t="s">
        <v>31</v>
      </c>
      <c r="D76">
        <f>14*491</f>
        <v>6874</v>
      </c>
      <c r="E76" t="s">
        <v>435</v>
      </c>
      <c r="F76" t="s">
        <v>695</v>
      </c>
      <c r="H76" t="s">
        <v>696</v>
      </c>
    </row>
    <row r="78">
      <c r="A78" t="s">
        <v>697</v>
      </c>
    </row>
    <row r="79" ht="14.25" customHeight="1">
      <c r="A79" t="s">
        <v>698</v>
      </c>
      <c r="C79" t="s">
        <v>31</v>
      </c>
      <c r="D79">
        <v>2814</v>
      </c>
      <c r="E79" t="s">
        <v>435</v>
      </c>
      <c r="F79" t="s">
        <v>695</v>
      </c>
      <c r="H79" t="s">
        <v>696</v>
      </c>
    </row>
    <row r="80">
      <c r="A80" t="s">
        <v>699</v>
      </c>
    </row>
    <row r="81">
      <c r="B81" t="s">
        <v>700</v>
      </c>
      <c r="C81" s="1">
        <f>I59</f>
        <v>30.84</v>
      </c>
      <c r="D81" t="s">
        <v>608</v>
      </c>
    </row>
    <row r="82">
      <c r="B82" t="s">
        <v>545</v>
      </c>
      <c r="E82" s="1">
        <f>C81*10</f>
        <v>308.4</v>
      </c>
      <c r="F82" t="s">
        <v>182</v>
      </c>
    </row>
    <row r="83">
      <c r="B83" t="s">
        <v>546</v>
      </c>
      <c r="C83" t="s">
        <v>547</v>
      </c>
    </row>
    <row r="84" ht="14.25" customHeight="1">
      <c r="B84" t="s">
        <v>548</v>
      </c>
      <c r="E84" s="1">
        <f>E82*1000/$E$39/1000</f>
        <v>0.2711208791208791</v>
      </c>
      <c r="F84" s="1" t="s">
        <v>210</v>
      </c>
    </row>
    <row r="85">
      <c r="B85" t="s">
        <v>549</v>
      </c>
      <c r="C85" t="s">
        <v>550</v>
      </c>
      <c r="E85" s="1">
        <f>100*$D$79/(1000*$E$39)</f>
        <v>0.2473846153846154</v>
      </c>
    </row>
    <row r="86" ht="14.25" customHeight="1">
      <c r="B86" t="s">
        <v>551</v>
      </c>
      <c r="E86" s="1">
        <v>0.23</v>
      </c>
      <c r="F86" s="1" t="s">
        <v>210</v>
      </c>
    </row>
    <row r="87">
      <c r="B87" t="s">
        <v>552</v>
      </c>
    </row>
    <row r="88" ht="14.25" customHeight="1">
      <c r="B88" t="s">
        <v>553</v>
      </c>
      <c r="E88" s="1">
        <f>E86</f>
        <v>0.23</v>
      </c>
      <c r="F88" s="1" t="s">
        <v>210</v>
      </c>
    </row>
    <row r="89" ht="26.25" customHeight="1">
      <c r="D89" t="s">
        <v>554</v>
      </c>
    </row>
    <row r="90" ht="21" customHeight="1">
      <c r="B90" t="s">
        <v>555</v>
      </c>
      <c r="E90">
        <v>16</v>
      </c>
      <c r="F90" t="s">
        <v>208</v>
      </c>
    </row>
    <row r="91" ht="14.25" customHeight="1">
      <c r="B91" t="s">
        <v>536</v>
      </c>
      <c r="E91" s="4">
        <f>3.14*E90*E90/4</f>
        <v>200.96</v>
      </c>
      <c r="F91" t="s">
        <v>435</v>
      </c>
    </row>
    <row r="92">
      <c r="B92" t="s">
        <v>556</v>
      </c>
      <c r="E92" s="4">
        <f>2*E91*E30*E39/(E82*1000)</f>
        <v>296.48767833981844</v>
      </c>
      <c r="F92" t="s">
        <v>208</v>
      </c>
    </row>
    <row r="93">
      <c r="B93" t="s">
        <v>532</v>
      </c>
      <c r="C93">
        <f>E90</f>
        <v>16</v>
      </c>
      <c r="D93" t="s">
        <v>208</v>
      </c>
      <c r="E93">
        <v>100</v>
      </c>
      <c r="F93" t="s">
        <v>208</v>
      </c>
      <c r="G93" t="s">
        <v>665</v>
      </c>
    </row>
    <row r="94">
      <c r="A94" t="s">
        <v>701</v>
      </c>
    </row>
    <row r="95">
      <c r="A95" t="s">
        <v>1109</v>
      </c>
    </row>
    <row r="96">
      <c r="A96" t="s">
        <v>1110</v>
      </c>
    </row>
    <row r="97"/>
    <row r="98">
      <c r="A98" t="s">
        <v>704</v>
      </c>
    </row>
    <row r="99">
      <c r="B99" t="s">
        <v>700</v>
      </c>
      <c r="C99">
        <v>20.3</v>
      </c>
      <c r="D99" t="s">
        <v>608</v>
      </c>
    </row>
    <row r="100">
      <c r="B100" t="s">
        <v>545</v>
      </c>
      <c r="E100" s="1">
        <f>C99*10</f>
        <v>203</v>
      </c>
      <c r="F100" t="s">
        <v>182</v>
      </c>
    </row>
    <row r="101">
      <c r="B101" t="s">
        <v>546</v>
      </c>
      <c r="C101" t="s">
        <v>547</v>
      </c>
    </row>
    <row r="102" ht="14.25" customHeight="1">
      <c r="B102" t="s">
        <v>548</v>
      </c>
      <c r="E102" s="1">
        <f>E100*1000/$E$39/1000</f>
        <v>0.17846153846153845</v>
      </c>
      <c r="F102" s="1" t="s">
        <v>210</v>
      </c>
    </row>
    <row r="103">
      <c r="B103" t="s">
        <v>549</v>
      </c>
      <c r="C103" t="s">
        <v>550</v>
      </c>
      <c r="E103" s="1">
        <f>100*$D$79/(1000*$E$39)</f>
        <v>0.2473846153846154</v>
      </c>
    </row>
    <row r="104" ht="14.25" customHeight="1">
      <c r="B104" t="s">
        <v>551</v>
      </c>
      <c r="E104" s="1">
        <v>0.23</v>
      </c>
      <c r="F104" s="1" t="s">
        <v>210</v>
      </c>
    </row>
    <row r="105">
      <c r="B105" t="s">
        <v>552</v>
      </c>
    </row>
    <row r="106" ht="14.25" customHeight="1">
      <c r="B106" t="s">
        <v>553</v>
      </c>
      <c r="E106" s="1">
        <f>E104</f>
        <v>0.23</v>
      </c>
      <c r="F106" s="1" t="s">
        <v>210</v>
      </c>
    </row>
    <row r="107" ht="26.25" customHeight="1">
      <c r="D107" t="s">
        <v>705</v>
      </c>
    </row>
    <row r="108">
      <c r="A108" t="s">
        <v>701</v>
      </c>
    </row>
    <row r="109">
      <c r="A109" t="s">
        <v>1109</v>
      </c>
    </row>
    <row r="110">
      <c r="A110" t="s">
        <v>1110</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1111</v>
      </c>
    </row>
    <row r="2">
      <c r="A2" t="s">
        <v>1112</v>
      </c>
      <c r="F2" s="1">
        <f>'TYPE1-DIRT DirectLoad_BM'!N25</f>
        <v>31.6</v>
      </c>
      <c r="G2" t="s">
        <v>867</v>
      </c>
    </row>
    <row r="3">
      <c r="A3" t="s">
        <v>1113</v>
      </c>
      <c r="F3">
        <v>1000</v>
      </c>
      <c r="G3" t="s">
        <v>443</v>
      </c>
      <c r="H3" t="s">
        <v>1114</v>
      </c>
      <c r="I3" s="1">
        <f>(300/500+F3/300)/F3</f>
        <v>0.003933333333333334</v>
      </c>
    </row>
    <row r="4">
      <c r="A4" t="s">
        <v>1115</v>
      </c>
      <c r="F4">
        <v>300</v>
      </c>
      <c r="G4" t="s">
        <v>443</v>
      </c>
      <c r="H4" t="s">
        <v>1116</v>
      </c>
      <c r="I4" s="1">
        <f>(300/500+F4/300)/F4</f>
        <v>0.005333333333333334</v>
      </c>
    </row>
    <row r="5">
      <c r="A5" t="s">
        <v>1117</v>
      </c>
      <c r="F5" s="1">
        <f>'TYPE1-DIRT DirectLoad_BM'!D62*10</f>
        <v>12.8</v>
      </c>
      <c r="G5" t="s">
        <v>1118</v>
      </c>
    </row>
    <row r="6">
      <c r="A6" t="s">
        <v>1119</v>
      </c>
      <c r="F6" s="1">
        <f>F2*1.5</f>
        <v>47.400000000000006</v>
      </c>
      <c r="G6" t="s">
        <v>867</v>
      </c>
    </row>
    <row r="7">
      <c r="A7" t="s">
        <v>1120</v>
      </c>
      <c r="F7" s="1">
        <f>F5*1.5</f>
        <v>19.200000000000003</v>
      </c>
      <c r="G7" t="s">
        <v>1118</v>
      </c>
    </row>
    <row r="8">
      <c r="A8" t="s">
        <v>1121</v>
      </c>
      <c r="F8">
        <v>10</v>
      </c>
      <c r="G8" t="s">
        <v>443</v>
      </c>
    </row>
    <row r="9">
      <c r="A9" t="s">
        <v>1122</v>
      </c>
      <c r="F9">
        <v>40</v>
      </c>
      <c r="G9" t="s">
        <v>443</v>
      </c>
    </row>
    <row r="10">
      <c r="A10" t="s">
        <v>1123</v>
      </c>
      <c r="F10">
        <f>F9+(F8/2)</f>
        <v>45</v>
      </c>
      <c r="G10" t="s">
        <v>443</v>
      </c>
    </row>
    <row r="11">
      <c r="A11" t="s">
        <v>1124</v>
      </c>
      <c r="F11" s="1">
        <f>F10/F4</f>
        <v>0.15</v>
      </c>
    </row>
    <row r="12">
      <c r="A12" t="s">
        <v>1125</v>
      </c>
      <c r="F12" s="1">
        <v>0.15</v>
      </c>
    </row>
    <row r="13">
      <c r="A13" t="s">
        <v>1126</v>
      </c>
      <c r="F13" s="1">
        <f>F6*1000/(30*F3*F4)</f>
        <v>0.005266666666666668</v>
      </c>
    </row>
    <row r="14" ht="14.25" customHeight="1">
      <c r="A14" t="s">
        <v>1127</v>
      </c>
      <c r="F14" s="1">
        <f>F7*1000000/(30*F3*F4^2)</f>
        <v>0.007111111111111112</v>
      </c>
    </row>
    <row r="15">
      <c r="A15" t="s">
        <v>1128</v>
      </c>
    </row>
    <row r="16">
      <c r="A16" t="s">
        <v>1129</v>
      </c>
      <c r="F16">
        <v>33</v>
      </c>
      <c r="H16" t="s">
        <v>1130</v>
      </c>
    </row>
    <row r="17">
      <c r="A17" t="s">
        <v>1131</v>
      </c>
      <c r="F17">
        <v>0.01</v>
      </c>
    </row>
    <row r="18">
      <c r="A18" t="s">
        <v>38</v>
      </c>
      <c r="F18">
        <f>F17*30</f>
        <v>0.3</v>
      </c>
      <c r="H18" t="s">
        <v>1132</v>
      </c>
    </row>
    <row r="19">
      <c r="A19" t="s">
        <v>1133</v>
      </c>
      <c r="F19">
        <f>F18*F3*F4/100</f>
        <v>900</v>
      </c>
      <c r="G19" t="s">
        <v>1134</v>
      </c>
    </row>
    <row r="20">
      <c r="A20" t="s">
        <v>1135</v>
      </c>
      <c r="F20" s="4">
        <f>ROUNDUP(F19/(0.785*(F8^2)),0)</f>
        <v>12</v>
      </c>
    </row>
    <row r="21">
      <c r="A21" t="s">
        <v>1136</v>
      </c>
      <c r="F21" s="4">
        <f>ROUNDUP(F20/2,0)</f>
        <v>6</v>
      </c>
    </row>
    <row r="22">
      <c r="A22" t="s">
        <v>1137</v>
      </c>
      <c r="F22">
        <f>F3/(F21-1)</f>
        <v>200</v>
      </c>
      <c r="G22" t="s">
        <v>443</v>
      </c>
    </row>
    <row r="24" ht="15.75" customHeight="1">
      <c r="A24" t="s">
        <v>1138</v>
      </c>
    </row>
    <row r="26">
      <c r="D26" t="s">
        <v>1139</v>
      </c>
      <c r="E26" t="s">
        <v>31</v>
      </c>
      <c r="F26" s="1">
        <f>F5</f>
        <v>12.8</v>
      </c>
      <c r="G26" t="s">
        <f>G5</f>
        <v>1118</v>
      </c>
    </row>
    <row r="27" ht="14.25" customHeight="1">
      <c r="C27" t="s">
        <v>1140</v>
      </c>
      <c r="F27" s="1">
        <f>F26</f>
        <v>12.8</v>
      </c>
      <c r="G27" t="s">
        <v>69</v>
      </c>
      <c r="H27" t="s">
        <v>1141</v>
      </c>
      <c r="I27" t="s">
        <v>31</v>
      </c>
      <c r="J27">
        <v>118.7</v>
      </c>
      <c r="K27" t="s">
        <v>208</v>
      </c>
    </row>
    <row r="28">
      <c r="F28">
        <v>1000</v>
      </c>
      <c r="G28" t="s">
        <v>69</v>
      </c>
      <c r="H28">
        <v>0.972</v>
      </c>
    </row>
    <row r="29">
      <c r="C29" t="s">
        <v>1142</v>
      </c>
      <c r="D29">
        <f>F4</f>
        <v>300</v>
      </c>
      <c r="E29" t="s">
        <v>114</v>
      </c>
      <c r="F29">
        <v>50</v>
      </c>
      <c r="G29" t="s">
        <v>114</v>
      </c>
      <c r="H29">
        <v>16</v>
      </c>
      <c r="I29" t="s">
        <v>31</v>
      </c>
      <c r="J29">
        <f>D29-F29-F8/2</f>
        <v>245</v>
      </c>
      <c r="K29" t="s">
        <v>208</v>
      </c>
      <c r="L29" t="s">
        <v>1143</v>
      </c>
      <c r="M29">
        <v>118.7</v>
      </c>
      <c r="O29" t="s">
        <v>208</v>
      </c>
      <c r="P29" t="s">
        <v>1144</v>
      </c>
    </row>
    <row r="30">
      <c r="H30">
        <v>2</v>
      </c>
    </row>
    <row r="31" ht="14.25" customHeight="1">
      <c r="C31" t="s">
        <v>1145</v>
      </c>
      <c r="D31" t="s">
        <v>31</v>
      </c>
      <c r="F31" s="1">
        <f>F27</f>
        <v>12.8</v>
      </c>
      <c r="G31" t="s">
        <v>418</v>
      </c>
      <c r="I31" t="s">
        <v>1141</v>
      </c>
      <c r="K31" t="s">
        <v>31</v>
      </c>
      <c r="L31" s="1">
        <f>F31*1000000/(F32*H32*J32)</f>
        <v>284.86858211114327</v>
      </c>
      <c r="M31" t="s">
        <v>435</v>
      </c>
    </row>
    <row r="32">
      <c r="F32">
        <v>200</v>
      </c>
      <c r="G32" t="s">
        <v>418</v>
      </c>
      <c r="H32">
        <v>0.917</v>
      </c>
      <c r="I32" t="s">
        <v>69</v>
      </c>
      <c r="J32">
        <f>J29</f>
        <v>245</v>
      </c>
    </row>
    <row r="33">
      <c r="B33" t="s">
        <v>1146</v>
      </c>
      <c r="F33" t="s">
        <v>1147</v>
      </c>
      <c r="G33" t="s">
        <v>1148</v>
      </c>
    </row>
    <row r="35">
      <c r="B35" t="s">
        <v>1149</v>
      </c>
    </row>
    <row r="36" ht="14.25" customHeight="1">
      <c r="B36" t="s">
        <v>1150</v>
      </c>
      <c r="G36" t="s">
        <v>31</v>
      </c>
      <c r="H36" s="4">
        <f>ROUNDUP(78.5*1000/150,0)</f>
        <v>524</v>
      </c>
      <c r="I36" t="s">
        <v>435</v>
      </c>
    </row>
    <row r="37" ht="14.25" customHeight="1">
      <c r="B37" t="s">
        <v>1151</v>
      </c>
      <c r="G37" t="s">
        <v>31</v>
      </c>
      <c r="H37">
        <f>H36</f>
        <v>524</v>
      </c>
      <c r="I37" t="s">
        <v>435</v>
      </c>
    </row>
    <row r="38">
      <c r="B38" t="s">
        <v>1152</v>
      </c>
    </row>
    <row r="39">
      <c r="B39" t="s">
        <v>31</v>
      </c>
      <c r="C39">
        <v>0.002</v>
      </c>
      <c r="D39" t="s">
        <v>69</v>
      </c>
      <c r="E39">
        <v>1000</v>
      </c>
      <c r="F39" t="s">
        <v>69</v>
      </c>
      <c r="G39">
        <v>250</v>
      </c>
    </row>
    <row r="40" ht="14.25" customHeight="1">
      <c r="B40" t="s">
        <v>31</v>
      </c>
      <c r="D40" s="4">
        <v>500</v>
      </c>
      <c r="E40" t="s">
        <v>435</v>
      </c>
    </row>
    <row r="41" ht="14.25" customHeight="1">
      <c r="B41" t="s">
        <v>1153</v>
      </c>
      <c r="D41" t="s">
        <v>1154</v>
      </c>
    </row>
    <row r="42" ht="14.25" customHeight="1">
      <c r="B42" t="s">
        <v>1155</v>
      </c>
      <c r="D42" t="s">
        <v>1156</v>
      </c>
      <c r="F42" t="s">
        <v>1157</v>
      </c>
      <c r="G42" t="s">
        <v>31</v>
      </c>
      <c r="H42" s="4">
        <f>1000/250*78.5</f>
        <v>314</v>
      </c>
      <c r="I42" t="s">
        <v>435</v>
      </c>
    </row>
    <row r="43">
      <c r="C43" t="s">
        <v>482</v>
      </c>
    </row>
    <row r="44">
      <c r="C44" t="s">
        <v>1158</v>
      </c>
    </row>
    <row r="45">
      <c r="C45" t="s">
        <v>1159</v>
      </c>
      <c r="D45">
        <v>10</v>
      </c>
      <c r="E45" t="s">
        <v>208</v>
      </c>
    </row>
    <row r="46">
      <c r="C46" t="s">
        <v>442</v>
      </c>
      <c r="D46">
        <v>150</v>
      </c>
      <c r="E46" t="s">
        <v>208</v>
      </c>
    </row>
    <row r="47"/>
    <row r="48">
      <c r="C48" t="s">
        <v>1160</v>
      </c>
    </row>
    <row r="49">
      <c r="C49" t="s">
        <v>1159</v>
      </c>
      <c r="D49">
        <v>10</v>
      </c>
      <c r="E49" t="s">
        <v>208</v>
      </c>
    </row>
    <row r="50">
      <c r="C50" t="s">
        <v>442</v>
      </c>
      <c r="D50">
        <v>250</v>
      </c>
      <c r="E50" t="s">
        <v>208</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1161</v>
      </c>
    </row>
    <row r="2">
      <c r="B2" t="s">
        <v>1162</v>
      </c>
    </row>
    <row r="3">
      <c r="B3" t="s">
        <v>1163</v>
      </c>
      <c r="C3" t="s">
        <v>914</v>
      </c>
    </row>
    <row r="4">
      <c r="B4" t="s">
        <v>1164</v>
      </c>
      <c r="C4" t="s">
        <v>1165</v>
      </c>
    </row>
    <row r="5">
      <c r="B5" t="s">
        <v>1166</v>
      </c>
      <c r="C5" t="s">
        <v>1167</v>
      </c>
    </row>
    <row r="6">
      <c r="B6" t="s">
        <v>1166</v>
      </c>
      <c r="C6" t="s">
        <v>1168</v>
      </c>
    </row>
    <row r="7">
      <c r="B7" t="s">
        <v>1169</v>
      </c>
      <c r="C7" t="s">
        <v>1170</v>
      </c>
    </row>
    <row r="8">
      <c r="C8" t="s">
        <v>1171</v>
      </c>
    </row>
    <row r="9">
      <c r="C9" t="s">
        <v>1172</v>
      </c>
    </row>
    <row r="11">
      <c r="B11" t="s">
        <v>31</v>
      </c>
      <c r="C11" s="1">
        <v>2.9</v>
      </c>
      <c r="D11" t="s">
        <v>126</v>
      </c>
      <c r="E11" t="s">
        <v>212</v>
      </c>
      <c r="F11">
        <v>1.2</v>
      </c>
      <c r="G11" t="s">
        <v>126</v>
      </c>
      <c r="H11">
        <v>0.305</v>
      </c>
      <c r="I11" t="s">
        <v>83</v>
      </c>
      <c r="J11" t="s">
        <v>126</v>
      </c>
      <c r="K11">
        <v>0.83</v>
      </c>
    </row>
    <row r="13">
      <c r="B13" t="s">
        <v>31</v>
      </c>
      <c r="C13" s="1">
        <v>2.9</v>
      </c>
      <c r="D13" t="s">
        <v>126</v>
      </c>
      <c r="E13">
        <v>1.53</v>
      </c>
      <c r="G13" t="s">
        <v>126</v>
      </c>
      <c r="H13">
        <v>0.825</v>
      </c>
    </row>
    <row r="15">
      <c r="B15" t="s">
        <v>31</v>
      </c>
      <c r="C15">
        <v>5.255</v>
      </c>
      <c r="D15" t="s">
        <v>70</v>
      </c>
    </row>
    <row r="16">
      <c r="B16" t="s">
        <v>1173</v>
      </c>
      <c r="D16" t="s">
        <v>31</v>
      </c>
      <c r="E16">
        <v>14</v>
      </c>
      <c r="G16" t="s">
        <v>31</v>
      </c>
      <c r="H16">
        <v>2.66</v>
      </c>
      <c r="I16" t="s">
        <v>603</v>
      </c>
    </row>
    <row r="17">
      <c r="B17" t="s">
        <v>1174</v>
      </c>
      <c r="E17">
        <v>5.255</v>
      </c>
    </row>
    <row r="18">
      <c r="B18" t="s">
        <v>1175</v>
      </c>
      <c r="C18" t="s">
        <v>1176</v>
      </c>
    </row>
    <row r="19">
      <c r="B19" t="s">
        <v>31</v>
      </c>
      <c r="C19">
        <v>0.6</v>
      </c>
      <c r="D19" t="s">
        <v>69</v>
      </c>
      <c r="E19">
        <v>0.3</v>
      </c>
      <c r="F19" t="s">
        <v>69</v>
      </c>
      <c r="G19">
        <v>2.4</v>
      </c>
    </row>
    <row r="21">
      <c r="B21" t="s">
        <v>31</v>
      </c>
      <c r="C21">
        <v>0.495</v>
      </c>
      <c r="D21" t="s">
        <v>603</v>
      </c>
    </row>
    <row r="23">
      <c r="B23" t="s">
        <v>1177</v>
      </c>
      <c r="C23">
        <v>0.5</v>
      </c>
      <c r="D23" t="s">
        <v>603</v>
      </c>
    </row>
    <row r="25">
      <c r="B25" t="s">
        <v>1178</v>
      </c>
      <c r="E25">
        <v>2.66</v>
      </c>
      <c r="G25" t="s">
        <v>126</v>
      </c>
      <c r="H25">
        <v>0.5</v>
      </c>
      <c r="I25" t="s">
        <v>31</v>
      </c>
      <c r="J25">
        <v>3.16</v>
      </c>
      <c r="L25" t="s">
        <v>603</v>
      </c>
      <c r="M25" t="s">
        <v>31</v>
      </c>
      <c r="N25">
        <f>J25*10</f>
        <v>31.6</v>
      </c>
      <c r="O25" t="s">
        <v>182</v>
      </c>
    </row>
    <row r="27">
      <c r="B27" t="s">
        <v>1179</v>
      </c>
    </row>
    <row r="28">
      <c r="B28" t="s">
        <v>1180</v>
      </c>
    </row>
    <row r="29">
      <c r="B29" t="s">
        <v>1181</v>
      </c>
    </row>
    <row r="31">
      <c r="B31" t="s">
        <v>1182</v>
      </c>
      <c r="E31" t="s">
        <v>31</v>
      </c>
      <c r="G31">
        <v>0.2</v>
      </c>
      <c r="H31" t="s">
        <v>69</v>
      </c>
      <c r="I31">
        <v>14</v>
      </c>
      <c r="K31" t="s">
        <v>69</v>
      </c>
      <c r="L31">
        <v>1</v>
      </c>
      <c r="M31" t="s">
        <v>31</v>
      </c>
      <c r="N31">
        <v>0.53</v>
      </c>
      <c r="O31" t="s">
        <v>608</v>
      </c>
    </row>
    <row r="32">
      <c r="H32">
        <v>5.255</v>
      </c>
    </row>
    <row r="33">
      <c r="B33" t="s">
        <v>1183</v>
      </c>
    </row>
    <row r="35">
      <c r="B35" t="s">
        <v>31</v>
      </c>
      <c r="C35">
        <v>0.53</v>
      </c>
      <c r="D35" t="s">
        <v>1184</v>
      </c>
      <c r="E35" s="9">
        <v>1.2</v>
      </c>
      <c r="F35" t="s">
        <v>1185</v>
      </c>
      <c r="G35">
        <v>0.83</v>
      </c>
      <c r="M35" t="s">
        <v>1186</v>
      </c>
    </row>
    <row r="36">
      <c r="B36" t="s">
        <v>31</v>
      </c>
      <c r="C36">
        <v>1.07</v>
      </c>
      <c r="D36" t="s">
        <v>868</v>
      </c>
    </row>
    <row r="37">
      <c r="B37" t="s">
        <v>1187</v>
      </c>
    </row>
    <row r="39">
      <c r="B39" t="s">
        <v>31</v>
      </c>
      <c r="C39">
        <v>0.224</v>
      </c>
      <c r="D39" t="s">
        <v>69</v>
      </c>
      <c r="E39" s="9">
        <v>1.8</v>
      </c>
      <c r="F39" t="s">
        <v>69</v>
      </c>
      <c r="G39">
        <v>1.2</v>
      </c>
    </row>
    <row r="41" ht="14.25" customHeight="1">
      <c r="B41" t="s">
        <v>31</v>
      </c>
      <c r="C41">
        <v>0.483</v>
      </c>
      <c r="D41" t="s">
        <v>1188</v>
      </c>
    </row>
    <row r="43">
      <c r="B43" t="s">
        <v>1189</v>
      </c>
      <c r="G43" t="s">
        <v>31</v>
      </c>
    </row>
    <row r="45">
      <c r="B45" t="s">
        <v>31</v>
      </c>
      <c r="C45">
        <v>0.224</v>
      </c>
      <c r="D45" t="s">
        <v>69</v>
      </c>
      <c r="E45" s="9">
        <v>1.8</v>
      </c>
      <c r="F45" t="s">
        <v>1190</v>
      </c>
      <c r="G45">
        <v>1.2</v>
      </c>
      <c r="H45" t="s">
        <v>126</v>
      </c>
      <c r="I45">
        <v>0.825</v>
      </c>
      <c r="K45" t="s">
        <v>83</v>
      </c>
    </row>
    <row r="47" ht="14.25" customHeight="1">
      <c r="B47" t="s">
        <v>31</v>
      </c>
      <c r="C47">
        <v>0.816</v>
      </c>
      <c r="D47" t="s">
        <v>1188</v>
      </c>
    </row>
    <row r="48">
      <c r="B48" t="s">
        <v>1191</v>
      </c>
    </row>
    <row r="49">
      <c r="B49" t="s">
        <v>1192</v>
      </c>
    </row>
    <row r="50">
      <c r="C50">
        <v>1</v>
      </c>
      <c r="D50" t="s">
        <v>1193</v>
      </c>
      <c r="E50">
        <v>0.816</v>
      </c>
      <c r="G50" t="s">
        <v>114</v>
      </c>
      <c r="H50">
        <v>0.483</v>
      </c>
      <c r="J50" t="s">
        <v>1194</v>
      </c>
      <c r="K50">
        <v>0.825</v>
      </c>
      <c r="L50" t="s">
        <v>418</v>
      </c>
      <c r="M50">
        <v>0.42</v>
      </c>
      <c r="O50" t="s">
        <v>418</v>
      </c>
      <c r="P50">
        <v>0.875</v>
      </c>
    </row>
    <row r="51">
      <c r="B51" t="s">
        <v>31</v>
      </c>
      <c r="C51">
        <v>2</v>
      </c>
    </row>
    <row r="53">
      <c r="D53" t="s">
        <v>126</v>
      </c>
      <c r="E53">
        <v>0.483</v>
      </c>
      <c r="G53" t="s">
        <v>418</v>
      </c>
      <c r="H53">
        <v>0.825</v>
      </c>
      <c r="J53" t="s">
        <v>1195</v>
      </c>
      <c r="K53">
        <v>0.528</v>
      </c>
    </row>
    <row r="54">
      <c r="K54">
        <v>2</v>
      </c>
    </row>
    <row r="55">
      <c r="B55" t="s">
        <v>31</v>
      </c>
      <c r="C55">
        <v>0.048</v>
      </c>
      <c r="D55" t="s">
        <v>126</v>
      </c>
      <c r="E55">
        <v>0.164</v>
      </c>
    </row>
    <row r="57">
      <c r="B57" t="s">
        <v>31</v>
      </c>
      <c r="C57">
        <v>0.21</v>
      </c>
      <c r="D57" t="s">
        <v>868</v>
      </c>
    </row>
    <row r="58">
      <c r="C58" t="s">
        <v>1196</v>
      </c>
    </row>
    <row r="60">
      <c r="B60" t="s">
        <v>31</v>
      </c>
      <c r="D60">
        <v>1.07</v>
      </c>
      <c r="E60" t="s">
        <v>126</v>
      </c>
      <c r="F60">
        <v>0.21</v>
      </c>
    </row>
    <row r="61"/>
    <row r="62">
      <c r="B62" t="s">
        <v>31</v>
      </c>
      <c r="D62">
        <v>1.28</v>
      </c>
      <c r="E62" t="s">
        <v>868</v>
      </c>
      <c r="F62" t="s">
        <v>31</v>
      </c>
      <c r="G62">
        <f>D62*10</f>
        <v>12.8</v>
      </c>
      <c r="H62" t="s">
        <v>301</v>
      </c>
    </row>
    <row r="63" ht="21" customHeight="1">
      <c r="B63" t="s">
        <v>1197</v>
      </c>
      <c r="D63" t="s">
        <v>31</v>
      </c>
      <c r="E63">
        <v>3.16</v>
      </c>
      <c r="G63" t="s">
        <v>418</v>
      </c>
      <c r="H63" t="s">
        <v>1198</v>
      </c>
    </row>
    <row r="64">
      <c r="F64">
        <v>30</v>
      </c>
      <c r="G64" t="s">
        <v>418</v>
      </c>
      <c r="H64">
        <v>100</v>
      </c>
    </row>
    <row r="65" ht="14.25" customHeight="1">
      <c r="D65" t="s">
        <v>31</v>
      </c>
      <c r="E65">
        <f>1.26*25/30</f>
        <v>1.05</v>
      </c>
      <c r="G65" t="s">
        <v>1199</v>
      </c>
    </row>
    <row r="68" ht="14.25" customHeight="1">
      <c r="B68" t="s">
        <v>1200</v>
      </c>
      <c r="D68" t="s">
        <v>31</v>
      </c>
      <c r="E68">
        <v>1.28</v>
      </c>
      <c r="G68" t="s">
        <v>418</v>
      </c>
      <c r="H68" t="s">
        <v>1198</v>
      </c>
    </row>
    <row r="69" ht="14.25" customHeight="1">
      <c r="E69">
        <v>1</v>
      </c>
      <c r="F69" t="s">
        <v>418</v>
      </c>
      <c r="G69">
        <v>100</v>
      </c>
      <c r="H69" t="s">
        <v>418</v>
      </c>
      <c r="I69" t="s">
        <v>1201</v>
      </c>
    </row>
    <row r="70">
      <c r="E70">
        <v>6</v>
      </c>
    </row>
    <row r="72" ht="14.25" customHeight="1">
      <c r="D72" t="s">
        <v>31</v>
      </c>
      <c r="E72" s="1">
        <f>1280/(100*900/6)</f>
        <v>0.08533333333333333</v>
      </c>
      <c r="G72" t="s">
        <v>1199</v>
      </c>
    </row>
    <row r="74">
      <c r="B74" t="s">
        <v>1202</v>
      </c>
    </row>
    <row r="75"/>
    <row r="76" ht="14.25" customHeight="1">
      <c r="B76" t="s">
        <v>1203</v>
      </c>
      <c r="G76">
        <v>67</v>
      </c>
      <c r="H76" t="s">
        <v>1199</v>
      </c>
    </row>
    <row r="79">
      <c r="B79" t="s">
        <v>1204</v>
      </c>
    </row>
    <row r="80" ht="14.25" customHeight="1">
      <c r="C80" t="s">
        <v>306</v>
      </c>
      <c r="D80" t="s">
        <v>31</v>
      </c>
      <c r="E80">
        <v>50</v>
      </c>
      <c r="F80" t="s">
        <v>1199</v>
      </c>
    </row>
    <row r="83">
      <c r="B83" t="s">
        <v>31</v>
      </c>
      <c r="D83">
        <v>1.05</v>
      </c>
      <c r="E83" t="s">
        <v>126</v>
      </c>
      <c r="F83">
        <v>0.09</v>
      </c>
      <c r="H83" t="s">
        <v>999</v>
      </c>
      <c r="I83">
        <v>1</v>
      </c>
    </row>
    <row r="84">
      <c r="D84">
        <v>50</v>
      </c>
      <c r="F84">
        <v>67</v>
      </c>
    </row>
    <row r="86">
      <c r="B86" t="s">
        <v>31</v>
      </c>
      <c r="D86">
        <f>1.05/50</f>
        <v>0.021</v>
      </c>
      <c r="E86" t="s">
        <v>126</v>
      </c>
      <c r="F86" s="2">
        <f>0.09/67</f>
        <v>0.0013432835820895521</v>
      </c>
      <c r="H86" t="s">
        <v>999</v>
      </c>
      <c r="I86">
        <v>1</v>
      </c>
    </row>
    <row r="87"/>
    <row r="88">
      <c r="B88" t="s">
        <v>31</v>
      </c>
      <c r="D88">
        <v>0.022</v>
      </c>
      <c r="H88" t="s">
        <v>999</v>
      </c>
      <c r="I88">
        <v>1</v>
      </c>
      <c r="K88" t="s">
        <v>1205</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1206</v>
      </c>
    </row>
    <row r="2">
      <c r="A2" t="s">
        <v>1207</v>
      </c>
      <c r="B2">
        <v>925</v>
      </c>
      <c r="C2" t="s">
        <v>208</v>
      </c>
    </row>
    <row r="3">
      <c r="A3" t="s">
        <v>1208</v>
      </c>
      <c r="B3">
        <v>75</v>
      </c>
      <c r="C3" t="s">
        <v>208</v>
      </c>
    </row>
    <row r="4">
      <c r="A4" t="s">
        <v>1209</v>
      </c>
      <c r="B4">
        <v>25</v>
      </c>
      <c r="C4" t="s">
        <v>208</v>
      </c>
    </row>
    <row r="5">
      <c r="A5" t="s">
        <v>1210</v>
      </c>
      <c r="B5">
        <v>25</v>
      </c>
      <c r="C5" t="s">
        <v>208</v>
      </c>
    </row>
    <row r="6">
      <c r="A6" t="s">
        <v>1211</v>
      </c>
      <c r="B6">
        <f>B2</f>
        <v>925</v>
      </c>
      <c r="C6" t="s">
        <v>114</v>
      </c>
      <c r="D6">
        <f>B5</f>
        <v>25</v>
      </c>
      <c r="E6" t="s">
        <v>114</v>
      </c>
      <c r="F6">
        <f>B5</f>
        <v>25</v>
      </c>
      <c r="G6" t="s">
        <v>938</v>
      </c>
      <c r="H6">
        <f>B2-B5-B4/2</f>
        <v>887.5</v>
      </c>
      <c r="I6" t="s">
        <v>208</v>
      </c>
    </row>
    <row r="7">
      <c r="A7" t="s">
        <v>1212</v>
      </c>
      <c r="B7">
        <v>10</v>
      </c>
      <c r="C7" t="s">
        <v>63</v>
      </c>
    </row>
    <row r="8">
      <c r="A8" t="s">
        <v>1213</v>
      </c>
    </row>
    <row r="9">
      <c r="A9" t="s">
        <v>1214</v>
      </c>
      <c r="B9">
        <f>B2/1000</f>
        <v>0.925</v>
      </c>
      <c r="C9" t="s">
        <v>69</v>
      </c>
      <c r="D9">
        <v>2.4</v>
      </c>
      <c r="E9" t="s">
        <v>31</v>
      </c>
      <c r="F9">
        <f>B9*D9</f>
        <v>2.22</v>
      </c>
      <c r="G9" t="s">
        <v>1215</v>
      </c>
    </row>
    <row r="10">
      <c r="A10" t="s">
        <v>1216</v>
      </c>
      <c r="B10">
        <v>0.075</v>
      </c>
      <c r="C10" t="s">
        <v>69</v>
      </c>
      <c r="D10">
        <v>2.4</v>
      </c>
      <c r="E10" t="s">
        <v>31</v>
      </c>
      <c r="F10">
        <f>B10*D10</f>
        <v>0.18</v>
      </c>
      <c r="G10" t="s">
        <v>1215</v>
      </c>
    </row>
    <row r="11">
      <c r="A11" t="s">
        <v>1217</v>
      </c>
      <c r="F11">
        <f>SUM(F9:F10)</f>
        <v>2.4000000000000004</v>
      </c>
      <c r="G11" t="s">
        <v>1215</v>
      </c>
    </row>
    <row r="12">
      <c r="A12" t="s">
        <v>1218</v>
      </c>
      <c r="B12" t="s">
        <f>CONCATENATE(F11,"x",B7,"x",B7,"/8 =")</f>
        <v>1219</v>
      </c>
      <c r="F12" s="1">
        <f>F11*B7^2/8</f>
        <v>30.000000000000004</v>
      </c>
      <c r="G12" t="s">
        <v>868</v>
      </c>
    </row>
    <row r="13"/>
    <row r="14">
      <c r="A14" t="s">
        <v>559</v>
      </c>
    </row>
    <row r="15">
      <c r="A15" t="s">
        <v>560</v>
      </c>
    </row>
    <row r="16">
      <c r="A16" t="s">
        <v>561</v>
      </c>
    </row>
    <row r="17">
      <c r="A17" t="s">
        <v>563</v>
      </c>
    </row>
    <row r="18">
      <c r="A18" t="s">
        <f>CONCATENATE("= ",3.6,"+2(",B3/1000,"+",B2/1000,")=")</f>
        <v>1220</v>
      </c>
      <c r="B18" t="s">
        <v>31</v>
      </c>
      <c r="C18" s="1">
        <f>3.6+(B2+B3)/500</f>
        <v>5.6</v>
      </c>
      <c r="D18" t="s">
        <v>63</v>
      </c>
    </row>
    <row r="19"/>
    <row r="20">
      <c r="A20" t="s">
        <v>566</v>
      </c>
    </row>
    <row r="21">
      <c r="A21" t="s">
        <v>1221</v>
      </c>
    </row>
    <row r="22">
      <c r="A22" t="s">
        <v>1222</v>
      </c>
    </row>
    <row r="23">
      <c r="B23" t="s">
        <v>570</v>
      </c>
    </row>
    <row r="24">
      <c r="B24" t="s">
        <v>571</v>
      </c>
    </row>
    <row r="25">
      <c r="B25" t="s">
        <v>572</v>
      </c>
    </row>
    <row r="26">
      <c r="B26" t="s">
        <v>573</v>
      </c>
    </row>
    <row r="27">
      <c r="B27" t="s">
        <v>574</v>
      </c>
    </row>
    <row r="28">
      <c r="A28" t="s">
        <v>1223</v>
      </c>
    </row>
    <row r="29">
      <c r="A29" t="s">
        <v>1224</v>
      </c>
      <c r="B29" t="s">
        <v>31</v>
      </c>
      <c r="C29" s="1">
        <v>7.5</v>
      </c>
      <c r="D29" t="s">
        <v>63</v>
      </c>
    </row>
    <row r="30">
      <c r="A30" t="s">
        <v>1225</v>
      </c>
      <c r="B30" t="s">
        <v>31</v>
      </c>
      <c r="C30" s="1">
        <v>10</v>
      </c>
      <c r="D30" t="s">
        <v>63</v>
      </c>
    </row>
    <row r="31">
      <c r="A31" t="s">
        <v>1226</v>
      </c>
      <c r="B31" t="s">
        <v>31</v>
      </c>
      <c r="C31">
        <f>ROUND(C29/C30,2)</f>
        <v>0.75</v>
      </c>
    </row>
    <row r="32">
      <c r="A32" t="s">
        <v>1227</v>
      </c>
      <c r="B32" t="s">
        <v>564</v>
      </c>
      <c r="C32">
        <v>2.4</v>
      </c>
    </row>
    <row r="33">
      <c r="A33" t="s">
        <v>1228</v>
      </c>
      <c r="B33" t="s">
        <v>1229</v>
      </c>
      <c r="D33" s="1">
        <v>1</v>
      </c>
      <c r="E33" t="s">
        <v>63</v>
      </c>
    </row>
    <row r="34">
      <c r="A34" t="s">
        <v>69</v>
      </c>
      <c r="B34" t="s">
        <v>31</v>
      </c>
      <c r="C34" t="s">
        <v>1230</v>
      </c>
      <c r="D34" t="s">
        <v>31</v>
      </c>
      <c r="E34" s="1">
        <f>C30</f>
        <v>10</v>
      </c>
      <c r="F34" t="s">
        <v>938</v>
      </c>
      <c r="G34" s="1">
        <f>E34/2</f>
        <v>5</v>
      </c>
      <c r="H34" t="s">
        <v>63</v>
      </c>
    </row>
    <row r="35">
      <c r="A35" t="s">
        <v>1231</v>
      </c>
      <c r="B35" t="s">
        <v>31</v>
      </c>
      <c r="C35" s="1">
        <f>C32*(1-G34/C30)+D33</f>
        <v>2.2</v>
      </c>
      <c r="D35" t="s">
        <v>63</v>
      </c>
    </row>
    <row r="36">
      <c r="A36" t="s">
        <v>588</v>
      </c>
    </row>
    <row r="37">
      <c r="A37" t="s">
        <v>589</v>
      </c>
    </row>
    <row r="38">
      <c r="A38" t="s">
        <v>1232</v>
      </c>
    </row>
    <row r="39">
      <c r="A39" t="s">
        <v>1233</v>
      </c>
    </row>
    <row r="40">
      <c r="B40" t="s">
        <v>1234</v>
      </c>
    </row>
    <row r="41">
      <c r="A41" t="s">
        <v>1235</v>
      </c>
      <c r="H41">
        <f>1.925+3.825</f>
        <v>5.75</v>
      </c>
    </row>
    <row r="43">
      <c r="A43" t="s">
        <v>1236</v>
      </c>
      <c r="B43" t="s">
        <v>31</v>
      </c>
      <c r="C43">
        <f>2.05+1.93+2.8</f>
        <v>6.779999999999999</v>
      </c>
      <c r="D43" t="s">
        <v>70</v>
      </c>
    </row>
    <row r="44">
      <c r="A44" t="s">
        <v>598</v>
      </c>
    </row>
    <row r="45">
      <c r="A45" t="s">
        <v>1237</v>
      </c>
      <c r="B45" t="s">
        <v>1238</v>
      </c>
    </row>
    <row r="46">
      <c r="B46" t="s">
        <v>31</v>
      </c>
      <c r="C46">
        <f>ROUNDUP(70*1.1375,2)</f>
        <v>79.63000000000001</v>
      </c>
      <c r="D46" t="s">
        <v>608</v>
      </c>
    </row>
    <row r="47">
      <c r="A47" t="s">
        <v>1239</v>
      </c>
      <c r="B47" t="s">
        <v>31</v>
      </c>
      <c r="C47">
        <f>C46</f>
        <v>79.63000000000001</v>
      </c>
      <c r="D47" t="s">
        <v>1240</v>
      </c>
      <c r="E47" s="1">
        <f>C35</f>
        <v>2.2</v>
      </c>
      <c r="F47" t="s">
        <v>69</v>
      </c>
      <c r="G47" s="1">
        <f>C43</f>
        <v>6.779999999999999</v>
      </c>
      <c r="H47" t="s">
        <v>1241</v>
      </c>
    </row>
    <row r="48">
      <c r="B48" t="s">
        <v>31</v>
      </c>
      <c r="C48">
        <f>ROUND(C46/(E47*G47),2)</f>
        <v>5.34</v>
      </c>
      <c r="D48" t="s">
        <v>608</v>
      </c>
    </row>
    <row r="49">
      <c r="A49" t="s">
        <v>610</v>
      </c>
    </row>
    <row r="51">
      <c r="A51" t="s">
        <v>1242</v>
      </c>
    </row>
    <row r="53">
      <c r="A53" t="s">
        <v>1243</v>
      </c>
      <c r="B53">
        <v>5.6</v>
      </c>
      <c r="C53" t="s">
        <v>1244</v>
      </c>
      <c r="D53">
        <v>5.6</v>
      </c>
      <c r="E53" t="s">
        <v>83</v>
      </c>
    </row>
    <row r="54">
      <c r="B54">
        <v>2</v>
      </c>
      <c r="D54">
        <v>5</v>
      </c>
    </row>
    <row r="55"/>
    <row r="56">
      <c r="A56" t="s">
        <v>1245</v>
      </c>
      <c r="B56" s="1">
        <f>ROUND(C48*C18/2*(C30-C18/5),2)</f>
        <v>132.77</v>
      </c>
      <c r="C56" t="s">
        <v>1246</v>
      </c>
    </row>
    <row r="57">
      <c r="A57" t="s">
        <v>1247</v>
      </c>
    </row>
    <row r="59">
      <c r="A59" t="s">
        <v>1248</v>
      </c>
    </row>
    <row r="60">
      <c r="A60" t="s">
        <v>1249</v>
      </c>
    </row>
    <row r="62">
      <c r="A62" t="s">
        <v>611</v>
      </c>
    </row>
    <row r="63">
      <c r="A63" t="s">
        <v>612</v>
      </c>
      <c r="B63" t="s">
        <v>613</v>
      </c>
    </row>
    <row r="64"/>
    <row r="65">
      <c r="A65" t="s">
        <v>1250</v>
      </c>
      <c r="B65" t="s">
        <v>615</v>
      </c>
    </row>
    <row r="66"/>
    <row r="67">
      <c r="A67" t="s">
        <v>1251</v>
      </c>
      <c r="B67" t="s">
        <v>617</v>
      </c>
    </row>
    <row r="68"/>
    <row r="69">
      <c r="A69" t="s">
        <v>618</v>
      </c>
      <c r="B69" t="s">
        <v>619</v>
      </c>
    </row>
    <row r="70"/>
    <row r="71">
      <c r="A71" t="s">
        <v>620</v>
      </c>
      <c r="B71" t="s">
        <v>621</v>
      </c>
      <c r="C71" t="s">
        <v>622</v>
      </c>
    </row>
    <row r="72">
      <c r="A72" t="s">
        <v>623</v>
      </c>
    </row>
    <row r="73">
      <c r="A73" t="s">
        <v>1252</v>
      </c>
      <c r="B73" t="s">
        <v>31</v>
      </c>
      <c r="C73">
        <v>1.8</v>
      </c>
      <c r="D73" t="s">
        <v>63</v>
      </c>
    </row>
    <row r="75">
      <c r="A75" t="s">
        <v>1253</v>
      </c>
    </row>
    <row r="76">
      <c r="A76" t="s">
        <v>626</v>
      </c>
    </row>
    <row r="78">
      <c r="A78" t="s">
        <v>627</v>
      </c>
      <c r="D78" t="s">
        <v>628</v>
      </c>
    </row>
    <row r="79">
      <c r="A79" t="s">
        <v>629</v>
      </c>
      <c r="D79" t="s">
        <v>630</v>
      </c>
    </row>
    <row r="80"/>
    <row r="81">
      <c r="A81" t="s">
        <v>1254</v>
      </c>
      <c r="C81" t="s">
        <v>126</v>
      </c>
      <c r="D81">
        <v>1.8</v>
      </c>
    </row>
    <row r="82"/>
    <row r="83">
      <c r="A83" t="s">
        <v>1255</v>
      </c>
      <c r="B83" t="s">
        <v>633</v>
      </c>
    </row>
    <row r="84">
      <c r="A84" t="s">
        <v>1256</v>
      </c>
    </row>
    <row r="86">
      <c r="A86" t="s">
        <v>1257</v>
      </c>
    </row>
    <row r="88">
      <c r="A88" t="s">
        <v>1258</v>
      </c>
    </row>
    <row r="89"/>
    <row r="90">
      <c r="A90" t="s">
        <v>1259</v>
      </c>
    </row>
    <row r="91"/>
    <row r="92">
      <c r="A92" t="s">
        <v>1260</v>
      </c>
      <c r="B92" t="s">
        <v>1261</v>
      </c>
      <c r="C92" t="s">
        <v>1262</v>
      </c>
    </row>
    <row r="93">
      <c r="J93">
        <f>(2.4*4)*(1-4/8)</f>
        <v>4.8</v>
      </c>
    </row>
    <row r="94">
      <c r="A94" t="s">
        <v>1263</v>
      </c>
      <c r="B94" t="s">
        <v>1264</v>
      </c>
      <c r="D94" t="s">
        <v>1265</v>
      </c>
    </row>
    <row r="95"/>
    <row r="96">
      <c r="A96" t="s">
        <v>1266</v>
      </c>
      <c r="B96" t="s">
        <v>1267</v>
      </c>
      <c r="E96">
        <v>0.45</v>
      </c>
      <c r="F96" t="s">
        <v>70</v>
      </c>
    </row>
    <row r="98">
      <c r="A98" t="s">
        <v>1268</v>
      </c>
      <c r="B98" t="s">
        <v>61</v>
      </c>
      <c r="C98">
        <f>2.4*G34*(1-G34/C30)+E96</f>
        <v>6.45</v>
      </c>
      <c r="D98" t="s">
        <v>70</v>
      </c>
      <c r="F98" t="s">
        <v>1269</v>
      </c>
    </row>
    <row r="100">
      <c r="A100" t="s">
        <v>1270</v>
      </c>
    </row>
    <row r="102">
      <c r="A102" t="s">
        <v>1271</v>
      </c>
    </row>
    <row r="104">
      <c r="A104" t="s">
        <v>1272</v>
      </c>
    </row>
    <row r="106">
      <c r="A106" t="s">
        <v>1273</v>
      </c>
    </row>
    <row r="107">
      <c r="A107" t="s">
        <v>1274</v>
      </c>
    </row>
    <row r="108">
      <c r="A108" t="s">
        <v>1275</v>
      </c>
    </row>
    <row r="109">
      <c r="A109" t="s">
        <v>1276</v>
      </c>
    </row>
    <row r="111">
      <c r="A111" t="s">
        <v>1277</v>
      </c>
      <c r="B111" t="s">
        <v>1278</v>
      </c>
      <c r="C111" t="s">
        <v>1279</v>
      </c>
      <c r="E111">
        <v>6.45</v>
      </c>
    </row>
    <row r="112">
      <c r="B112">
        <v>2</v>
      </c>
      <c r="E112">
        <v>2</v>
      </c>
    </row>
    <row r="114">
      <c r="A114" t="s">
        <v>1277</v>
      </c>
      <c r="B114" t="s">
        <v>1280</v>
      </c>
    </row>
    <row r="116">
      <c r="A116" t="s">
        <v>31</v>
      </c>
      <c r="B116">
        <f>2.2+3.225+1.655</f>
        <v>7.080000000000001</v>
      </c>
      <c r="C116" t="s">
        <v>63</v>
      </c>
    </row>
    <row r="117">
      <c r="A117" t="s">
        <v>1281</v>
      </c>
    </row>
    <row r="118">
      <c r="A118" t="s">
        <v>1282</v>
      </c>
      <c r="B118" t="s">
        <v>587</v>
      </c>
      <c r="C118">
        <v>1.25</v>
      </c>
    </row>
    <row r="119">
      <c r="A119" t="s">
        <v>1283</v>
      </c>
    </row>
    <row r="120">
      <c r="A120" t="s">
        <v>1284</v>
      </c>
    </row>
    <row r="121">
      <c r="A121" t="s">
        <v>1285</v>
      </c>
    </row>
    <row r="122"/>
    <row r="123">
      <c r="A123" t="s">
        <v>1286</v>
      </c>
      <c r="C123" t="s">
        <v>1287</v>
      </c>
    </row>
    <row r="124">
      <c r="C124" t="s">
        <v>1288</v>
      </c>
    </row>
    <row r="125">
      <c r="A125" t="s">
        <v>1245</v>
      </c>
      <c r="B125" t="s">
        <v>1289</v>
      </c>
    </row>
    <row r="126">
      <c r="B126" t="s">
        <v>1290</v>
      </c>
    </row>
    <row r="127"/>
    <row r="128">
      <c r="A128" t="s">
        <v>1245</v>
      </c>
      <c r="B128">
        <f>ROUND(50/(3*B116),2)</f>
        <v>2.35</v>
      </c>
      <c r="C128" t="s">
        <v>603</v>
      </c>
    </row>
    <row r="129">
      <c r="A129" t="s">
        <v>1270</v>
      </c>
    </row>
    <row r="130">
      <c r="A130" t="s">
        <v>1291</v>
      </c>
    </row>
    <row r="131">
      <c r="A131" t="s">
        <v>1292</v>
      </c>
      <c r="B131">
        <v>7.08</v>
      </c>
      <c r="C131" t="s">
        <v>1244</v>
      </c>
      <c r="D131">
        <v>7.08</v>
      </c>
      <c r="E131" t="s">
        <v>83</v>
      </c>
    </row>
    <row r="132">
      <c r="B132">
        <v>2</v>
      </c>
      <c r="D132">
        <v>5</v>
      </c>
    </row>
    <row r="133"/>
    <row r="134">
      <c r="A134" t="s">
        <v>1245</v>
      </c>
      <c r="B134" s="1">
        <f>B128*B116/2*(C30-B116/G34)</f>
        <v>71.410296</v>
      </c>
      <c r="C134" t="s">
        <v>1246</v>
      </c>
    </row>
    <row r="136">
      <c r="A136" t="s">
        <v>1293</v>
      </c>
      <c r="B136" t="s">
        <v>1294</v>
      </c>
    </row>
    <row r="137">
      <c r="A137">
        <v>2</v>
      </c>
      <c r="B137">
        <v>2</v>
      </c>
    </row>
    <row r="139">
      <c r="A139" t="s">
        <v>31</v>
      </c>
    </row>
    <row r="140">
      <c r="A140" t="s">
        <v>1295</v>
      </c>
    </row>
    <row r="141">
      <c r="A141" t="s">
        <v>1296</v>
      </c>
      <c r="C141" s="1">
        <f>B56</f>
        <v>132.77</v>
      </c>
      <c r="D141" t="s">
        <v>1246</v>
      </c>
    </row>
    <row r="142">
      <c r="A142" t="s">
        <v>1297</v>
      </c>
      <c r="C142" t="s">
        <v>1298</v>
      </c>
    </row>
    <row r="143">
      <c r="B143" t="s">
        <v>1260</v>
      </c>
      <c r="C143" s="1">
        <f>F12</f>
        <v>30.000000000000004</v>
      </c>
      <c r="D143" t="s">
        <v>126</v>
      </c>
      <c r="E143" s="1">
        <f>C141</f>
        <v>132.77</v>
      </c>
    </row>
    <row r="144">
      <c r="B144" t="s">
        <v>1260</v>
      </c>
      <c r="C144">
        <f>C143+E143</f>
        <v>162.77</v>
      </c>
      <c r="D144" t="s">
        <v>868</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1299</v>
      </c>
    </row>
    <row r="7">
      <c r="A7" t="s">
        <v>1300</v>
      </c>
      <c r="K7" t="s">
        <v>1301</v>
      </c>
      <c r="L7" t="s">
        <v>1302</v>
      </c>
      <c r="M7" t="s">
        <v>1303</v>
      </c>
    </row>
    <row r="8" ht="44.25" customHeight="1">
      <c r="A8" t="s">
        <v>1304</v>
      </c>
      <c r="K8" t="s">
        <v>1305</v>
      </c>
      <c r="L8" s="2">
        <v>442.5</v>
      </c>
      <c r="M8">
        <v>442.63</v>
      </c>
    </row>
    <row r="9" ht="44.25" customHeight="1">
      <c r="A9" t="s">
        <v>1306</v>
      </c>
    </row>
    <row r="10">
      <c r="A10" t="s">
        <v>1307</v>
      </c>
    </row>
    <row r="12" ht="79.5" customHeight="1">
      <c r="A12" t="s">
        <v>1308</v>
      </c>
      <c r="K12" t="s">
        <v>1309</v>
      </c>
      <c r="L12" t="s">
        <v>63</v>
      </c>
    </row>
    <row r="13" ht="39.75" customHeight="1">
      <c r="A13" t="s">
        <v>1310</v>
      </c>
      <c r="K13">
        <v>12</v>
      </c>
      <c r="L13">
        <v>10.8</v>
      </c>
    </row>
    <row r="14" ht="71.25" customHeight="1">
      <c r="A14" t="s">
        <v>1311</v>
      </c>
      <c r="K14" t="s">
        <v>1157</v>
      </c>
      <c r="L14">
        <v>10</v>
      </c>
      <c r="M14" t="s">
        <v>1312</v>
      </c>
      <c r="N14" t="s">
        <v>1313</v>
      </c>
    </row>
    <row r="15" ht="66.75" customHeight="1">
      <c r="A15" t="s">
        <v>1314</v>
      </c>
    </row>
    <row r="16" ht="21.75" customHeight="1">
      <c r="A16" t="s">
        <v>1315</v>
      </c>
    </row>
    <row r="17" ht="25.5" customHeight="1">
      <c r="A17" t="s">
        <v>1316</v>
      </c>
      <c r="K17" t="s">
        <v>1317</v>
      </c>
      <c r="L17" t="s">
        <v>1318</v>
      </c>
      <c r="N17" t="s">
        <v>1318</v>
      </c>
    </row>
    <row r="18" ht="39" customHeight="1">
      <c r="A18" t="s">
        <v>1319</v>
      </c>
    </row>
    <row r="19" ht="66" customHeight="1">
      <c r="A19" t="s">
        <v>1320</v>
      </c>
      <c r="K19" t="s">
        <v>1321</v>
      </c>
      <c r="L19">
        <v>1200</v>
      </c>
      <c r="M19">
        <v>9600</v>
      </c>
      <c r="N19">
        <v>10800</v>
      </c>
    </row>
    <row r="20" ht="39" customHeight="1">
      <c r="A20" t="s">
        <v>1322</v>
      </c>
    </row>
    <row r="21"/>
    <row r="22" ht="36" customHeight="1">
      <c r="A22" t="s">
        <v>1323</v>
      </c>
    </row>
    <row r="23">
      <c r="A23" t="s">
        <v>1324</v>
      </c>
    </row>
    <row r="24">
      <c r="A24" t="s">
        <v>1325</v>
      </c>
    </row>
    <row r="25">
      <c r="B25" t="s">
        <v>1326</v>
      </c>
    </row>
    <row r="26">
      <c r="B26" t="s">
        <v>1327</v>
      </c>
    </row>
    <row r="27">
      <c r="B27" t="s">
        <v>1328</v>
      </c>
    </row>
    <row r="28">
      <c r="B28" t="s">
        <v>1329</v>
      </c>
    </row>
    <row r="29">
      <c r="B29" t="s">
        <v>1330</v>
      </c>
    </row>
    <row r="30">
      <c r="B30" t="s">
        <v>1331</v>
      </c>
    </row>
    <row r="31">
      <c r="B31" t="s">
        <v>1332</v>
      </c>
    </row>
    <row r="32"/>
    <row r="33">
      <c r="B33" t="s">
        <v>1333</v>
      </c>
    </row>
    <row r="34">
      <c r="A34" t="s">
        <v>1334</v>
      </c>
    </row>
    <row r="35">
      <c r="B35" t="s">
        <v>1335</v>
      </c>
    </row>
    <row r="36">
      <c r="B36" t="s">
        <v>1336</v>
      </c>
    </row>
    <row r="37"/>
    <row r="38">
      <c r="A38" t="s">
        <v>1337</v>
      </c>
    </row>
    <row r="39" ht="35.25" customHeight="1">
      <c r="B39" t="s">
        <v>1338</v>
      </c>
    </row>
    <row r="40" ht="36.75" customHeight="1">
      <c r="B40" t="s">
        <v>1339</v>
      </c>
    </row>
    <row r="41" ht="54.75" customHeight="1">
      <c r="B41" t="s">
        <v>1340</v>
      </c>
      <c r="L41">
        <v>3</v>
      </c>
      <c r="M41" s="1">
        <v>200</v>
      </c>
    </row>
    <row r="42">
      <c r="A42" t="s">
        <v>1341</v>
      </c>
    </row>
    <row r="43" ht="55.5" customHeight="1">
      <c r="B43" t="s">
        <v>1342</v>
      </c>
      <c r="L43" s="1">
        <v>6.31</v>
      </c>
    </row>
    <row r="44">
      <c r="A44" t="s">
        <v>1343</v>
      </c>
    </row>
    <row r="45" ht="80.25" customHeight="1">
      <c r="B45" t="s">
        <v>1344</v>
      </c>
      <c r="K45" t="s">
        <v>236</v>
      </c>
      <c r="L45" t="s">
        <v>237</v>
      </c>
    </row>
    <row r="46">
      <c r="A46" t="s">
        <v>1345</v>
      </c>
    </row>
    <row r="47" ht="24.75" customHeight="1">
      <c r="B47" t="s">
        <v>1346</v>
      </c>
    </row>
    <row r="48" ht="47.25" customHeight="1">
      <c r="B48" t="s">
        <v>1347</v>
      </c>
    </row>
    <row r="49" ht="74.25" customHeight="1">
      <c r="B49" t="s">
        <v>1348</v>
      </c>
    </row>
    <row r="50" ht="52.5" customHeight="1">
      <c r="B50" t="s">
        <v>1349</v>
      </c>
    </row>
    <row r="51">
      <c r="A51" t="s">
        <v>1350</v>
      </c>
    </row>
    <row r="52" ht="37.5" customHeight="1">
      <c r="B52" t="s">
        <v>1351</v>
      </c>
    </row>
    <row r="53">
      <c r="A53" t="s">
        <v>909</v>
      </c>
    </row>
    <row r="54" ht="53.25" customHeight="1">
      <c r="B54" t="s">
        <v>1352</v>
      </c>
    </row>
    <row r="55">
      <c r="A55" t="s">
        <v>1353</v>
      </c>
    </row>
    <row r="56" ht="32.25" customHeight="1">
      <c r="B56" t="s">
        <v>1354</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A3"/>
  <sheetViews>
    <sheetView workbookViewId="0" rightToLeft="0"/>
  </sheetViews>
  <sheetData>
    <row r="1" ht="30" customHeight="1">
      <c r="A1" t="s">
        <v>1355</v>
      </c>
    </row>
    <row r="2" ht="30" customHeight="1"/>
    <row r="3" ht="30" customHeight="1">
      <c r="A3" t="s">
        <v>1356</v>
      </c>
    </row>
  </sheetData>
  <pageMargins left="0.7086614173228347" right="0.7086614173228347" top="0.7480314960629921" bottom="0.7480314960629921" header="0.31496062992125984" footer="0.31496062992125984"/>
  <ignoredErrors>
    <ignoredError numberStoredAsText="1" sqref="A1:A3"/>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871</v>
      </c>
      <c r="G2" s="2">
        <v>442.63</v>
      </c>
      <c r="H2" t="s">
        <v>70</v>
      </c>
    </row>
    <row r="3" ht="36.95" customHeight="1">
      <c r="A3" t="s">
        <v>872</v>
      </c>
      <c r="G3" s="2">
        <v>438.126</v>
      </c>
      <c r="H3" t="s">
        <v>70</v>
      </c>
      <c r="L3" t="s">
        <v>1357</v>
      </c>
    </row>
    <row r="4" ht="36.95" customHeight="1">
      <c r="A4" t="s">
        <v>873</v>
      </c>
      <c r="G4" s="4">
        <v>750</v>
      </c>
      <c r="H4" t="s">
        <v>208</v>
      </c>
    </row>
    <row r="5" ht="36.95" customHeight="1">
      <c r="A5" t="s">
        <v>874</v>
      </c>
      <c r="G5">
        <v>300</v>
      </c>
      <c r="H5" t="s">
        <v>208</v>
      </c>
    </row>
    <row r="6" ht="36.95" customHeight="1">
      <c r="A6" t="s">
        <v>875</v>
      </c>
      <c r="G6">
        <v>4204.000000000019</v>
      </c>
      <c r="H6" t="s">
        <v>208</v>
      </c>
      <c r="U6" t="s">
        <v>1358</v>
      </c>
    </row>
    <row r="7" ht="36.95" customHeight="1">
      <c r="A7" t="s">
        <v>876</v>
      </c>
      <c r="G7">
        <v>2700</v>
      </c>
      <c r="H7" t="s">
        <v>208</v>
      </c>
      <c r="J7" t="s">
        <v>877</v>
      </c>
      <c r="K7">
        <v>1000</v>
      </c>
      <c r="L7" t="s">
        <v>208</v>
      </c>
      <c r="S7">
        <v>163.56</v>
      </c>
      <c r="T7" t="s">
        <v>258</v>
      </c>
      <c r="V7">
        <v>0</v>
      </c>
    </row>
    <row r="8" ht="36.95" customHeight="1">
      <c r="A8" t="s">
        <v>878</v>
      </c>
      <c r="G8">
        <v>1350</v>
      </c>
      <c r="H8" t="s">
        <v>208</v>
      </c>
      <c r="J8" t="s">
        <v>877</v>
      </c>
      <c r="K8">
        <v>1000</v>
      </c>
      <c r="L8" t="s">
        <v>208</v>
      </c>
      <c r="S8">
        <v>28.200000000000003</v>
      </c>
      <c r="T8" t="s">
        <v>258</v>
      </c>
      <c r="V8">
        <v>0</v>
      </c>
    </row>
    <row r="9" ht="36.95" customHeight="1">
      <c r="A9" t="s">
        <v>879</v>
      </c>
      <c r="G9">
        <v>1050</v>
      </c>
      <c r="H9" t="s">
        <v>208</v>
      </c>
    </row>
    <row r="10" ht="36.95" customHeight="1">
      <c r="A10" t="s">
        <v>880</v>
      </c>
      <c r="G10">
        <v>1200</v>
      </c>
      <c r="H10" t="s">
        <v>208</v>
      </c>
    </row>
    <row r="11" ht="36.95" customHeight="1">
      <c r="A11" t="s">
        <v>881</v>
      </c>
      <c r="G11">
        <v>300</v>
      </c>
      <c r="H11" t="s">
        <v>208</v>
      </c>
    </row>
    <row r="12" ht="36.95" customHeight="1">
      <c r="A12" t="s">
        <v>882</v>
      </c>
      <c r="G12">
        <v>1000</v>
      </c>
      <c r="H12" t="s">
        <v>208</v>
      </c>
    </row>
    <row r="13" ht="36.95" customHeight="1">
      <c r="M13">
        <v>300</v>
      </c>
    </row>
    <row r="14" ht="36.95" customHeight="1">
      <c r="X14" t="s">
        <v>883</v>
      </c>
      <c r="Y14" s="2">
        <v>442.63</v>
      </c>
      <c r="Z14" t="s">
        <v>70</v>
      </c>
    </row>
    <row r="15" ht="36.95" customHeight="1">
      <c r="A15">
        <v>300</v>
      </c>
      <c r="F15" t="s">
        <v>884</v>
      </c>
    </row>
    <row r="17" ht="36.95" customHeight="1">
      <c r="K17">
        <v>450</v>
      </c>
      <c r="M17" t="s">
        <v>885</v>
      </c>
      <c r="Q17" t="s">
        <v>886</v>
      </c>
      <c r="W17">
        <v>750</v>
      </c>
    </row>
    <row r="18" ht="36.95" customHeight="1"/>
    <row r="19" ht="36.95" customHeight="1">
      <c r="Y19" s="2">
        <v>441.88</v>
      </c>
    </row>
    <row r="20" ht="36.75" customHeight="1">
      <c r="J20">
        <v>1200</v>
      </c>
      <c r="N20" t="s">
        <v>887</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888</v>
      </c>
      <c r="S28" t="s">
        <v>889</v>
      </c>
      <c r="U28">
        <v>1000</v>
      </c>
    </row>
    <row r="29" ht="36.95" customHeight="1">
      <c r="W29">
        <v>1000</v>
      </c>
    </row>
    <row r="30" ht="36.95" customHeight="1"/>
    <row r="31" ht="36.95" customHeight="1">
      <c r="X31" t="s">
        <v>883</v>
      </c>
      <c r="Y31" s="2">
        <v>438.126</v>
      </c>
      <c r="Z31" t="s">
        <v>70</v>
      </c>
    </row>
    <row r="32" ht="36.95" customHeight="1">
      <c r="G32">
        <v>2700</v>
      </c>
      <c r="O32">
        <v>1050</v>
      </c>
      <c r="S32">
        <v>1350</v>
      </c>
    </row>
    <row r="33" ht="36.95" customHeight="1">
      <c r="M33">
        <v>5100</v>
      </c>
    </row>
    <row r="35" ht="36.95" customHeight="1">
      <c r="C35" t="s">
        <v>890</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891</v>
      </c>
    </row>
    <row r="2" ht="15.75" customHeight="1">
      <c r="A2" s="4" t="s">
        <v>0</v>
      </c>
    </row>
    <row r="3" ht="15.75" customHeight="1">
      <c r="A3" t="s">
        <v>892</v>
      </c>
      <c r="B3" t="s">
        <v>893</v>
      </c>
      <c r="C3" t="s">
        <v>894</v>
      </c>
    </row>
    <row r="4" ht="15" customHeight="1">
      <c r="B4" t="s">
        <v>895</v>
      </c>
      <c r="C4" t="s">
        <v>896</v>
      </c>
      <c r="D4" t="s">
        <v>897</v>
      </c>
      <c r="F4" s="1">
        <v>12</v>
      </c>
      <c r="G4" s="1" t="s">
        <v>70</v>
      </c>
    </row>
    <row r="5" ht="15" customHeight="1">
      <c r="C5" t="s">
        <v>1359</v>
      </c>
    </row>
    <row r="6" ht="15" customHeight="1">
      <c r="B6" t="s">
        <v>899</v>
      </c>
      <c r="C6" t="s">
        <v>900</v>
      </c>
    </row>
    <row r="7" ht="15" customHeight="1">
      <c r="B7" t="s">
        <v>901</v>
      </c>
      <c r="C7" t="s">
        <v>902</v>
      </c>
    </row>
    <row r="8" ht="15" customHeight="1">
      <c r="B8" t="s">
        <v>903</v>
      </c>
      <c r="C8" t="s">
        <v>904</v>
      </c>
      <c r="F8">
        <v>35</v>
      </c>
      <c r="G8" t="s">
        <v>905</v>
      </c>
    </row>
    <row r="9" ht="15" customHeight="1">
      <c r="C9" t="s">
        <v>906</v>
      </c>
      <c r="E9">
        <v>18</v>
      </c>
      <c r="F9" t="s">
        <v>907</v>
      </c>
    </row>
    <row r="10" ht="15" customHeight="1">
      <c r="C10" t="s">
        <v>908</v>
      </c>
      <c r="F10">
        <v>17.5</v>
      </c>
      <c r="G10" t="s">
        <v>905</v>
      </c>
    </row>
    <row r="11" ht="15" customHeight="1">
      <c r="B11" t="s">
        <v>909</v>
      </c>
      <c r="C11" t="s">
        <v>910</v>
      </c>
    </row>
    <row r="12" ht="15" customHeight="1">
      <c r="B12" t="s">
        <v>911</v>
      </c>
    </row>
    <row r="13" ht="15" customHeight="1">
      <c r="B13" t="s">
        <v>912</v>
      </c>
      <c r="C13" t="s">
        <v>31</v>
      </c>
      <c r="D13" s="1">
        <v>90.17068320000016</v>
      </c>
      <c r="E13" t="s">
        <v>913</v>
      </c>
    </row>
    <row r="14" ht="15" customHeight="1">
      <c r="B14" t="s">
        <v>914</v>
      </c>
      <c r="C14" t="s">
        <v>31</v>
      </c>
      <c r="D14" s="1">
        <v>65.6888622754491</v>
      </c>
      <c r="E14" t="s">
        <v>913</v>
      </c>
    </row>
    <row r="15" ht="30.75" customHeight="1">
      <c r="B15" t="s">
        <v>915</v>
      </c>
    </row>
    <row r="16" ht="14.25" customHeight="1">
      <c r="B16" t="s">
        <v>916</v>
      </c>
    </row>
    <row r="17" ht="15.75" customHeight="1">
      <c r="A17" t="s">
        <v>917</v>
      </c>
    </row>
    <row r="18" ht="33.75" customHeight="1">
      <c r="B18" t="s">
        <v>918</v>
      </c>
    </row>
    <row r="19" ht="15.75" customHeight="1">
      <c r="A19" t="s">
        <v>919</v>
      </c>
    </row>
    <row r="20" ht="15.75" customHeight="1">
      <c r="A20" t="s">
        <v>920</v>
      </c>
      <c r="B20" t="s">
        <v>921</v>
      </c>
    </row>
    <row r="21" ht="15" customHeight="1">
      <c r="B21" t="s">
        <v>922</v>
      </c>
      <c r="C21">
        <v>0.2</v>
      </c>
      <c r="D21" t="s">
        <v>177</v>
      </c>
      <c r="E21">
        <v>1000</v>
      </c>
      <c r="F21" t="s">
        <v>124</v>
      </c>
      <c r="G21">
        <v>200</v>
      </c>
      <c r="H21" t="s">
        <v>182</v>
      </c>
    </row>
    <row r="22" ht="15" customHeight="1">
      <c r="B22" t="s">
        <v>923</v>
      </c>
    </row>
    <row r="23" ht="15" customHeight="1">
      <c r="B23" t="s">
        <v>924</v>
      </c>
      <c r="C23">
        <v>200</v>
      </c>
      <c r="D23" t="s">
        <v>85</v>
      </c>
      <c r="E23">
        <v>2</v>
      </c>
      <c r="F23" t="s">
        <v>124</v>
      </c>
      <c r="G23">
        <v>100</v>
      </c>
      <c r="H23" t="s">
        <v>182</v>
      </c>
    </row>
    <row r="24" ht="15" customHeight="1">
      <c r="B24" t="s">
        <v>925</v>
      </c>
      <c r="C24">
        <v>100</v>
      </c>
      <c r="D24" t="s">
        <v>85</v>
      </c>
      <c r="E24" s="1">
        <v>12</v>
      </c>
      <c r="F24" t="s">
        <v>124</v>
      </c>
      <c r="G24">
        <v>8.34</v>
      </c>
      <c r="H24" t="s">
        <v>926</v>
      </c>
    </row>
    <row r="25" ht="15.75" customHeight="1">
      <c r="A25" t="s">
        <v>927</v>
      </c>
      <c r="B25" t="s">
        <v>928</v>
      </c>
    </row>
    <row r="26" ht="15" customHeight="1">
      <c r="B26" t="s">
        <v>929</v>
      </c>
      <c r="D26">
        <v>17</v>
      </c>
      <c r="E26" t="s">
        <v>930</v>
      </c>
    </row>
    <row r="27" ht="15" customHeight="1">
      <c r="B27" t="s">
        <v>931</v>
      </c>
    </row>
    <row r="28" ht="18" customHeight="1">
      <c r="B28" t="s">
        <v>932</v>
      </c>
      <c r="C28" s="21">
        <v>0.000011699999999999998</v>
      </c>
      <c r="D28" t="s">
        <v>933</v>
      </c>
    </row>
    <row r="29" ht="15" customHeight="1">
      <c r="B29" t="s">
        <v>934</v>
      </c>
      <c r="C29">
        <v>17</v>
      </c>
      <c r="D29" t="s">
        <v>69</v>
      </c>
      <c r="E29">
        <v>0.000011699999999999998</v>
      </c>
      <c r="F29" t="s">
        <v>31</v>
      </c>
      <c r="G29" s="21">
        <v>0.00019889999999999996</v>
      </c>
    </row>
    <row r="30" ht="25.5" customHeight="1">
      <c r="B30" t="s">
        <v>935</v>
      </c>
      <c r="C30" s="21">
        <v>0.0002</v>
      </c>
    </row>
    <row r="31" ht="15" customHeight="1">
      <c r="B31" t="s">
        <v>936</v>
      </c>
      <c r="C31" s="21">
        <v>0.00019889999999999996</v>
      </c>
      <c r="D31" t="s">
        <v>126</v>
      </c>
      <c r="E31" s="21">
        <v>0.0002</v>
      </c>
      <c r="F31" t="s">
        <v>31</v>
      </c>
      <c r="G31" s="21">
        <v>0.0003989</v>
      </c>
    </row>
    <row r="32" ht="51.75" customHeight="1">
      <c r="B32" t="s">
        <v>937</v>
      </c>
      <c r="C32" s="21">
        <v>0.0003989</v>
      </c>
      <c r="D32" t="s">
        <v>69</v>
      </c>
      <c r="E32">
        <v>11200</v>
      </c>
      <c r="F32" t="s">
        <v>938</v>
      </c>
      <c r="G32" s="21">
        <v>2.23384</v>
      </c>
      <c r="H32" t="s">
        <v>208</v>
      </c>
    </row>
    <row r="33" ht="15" customHeight="1">
      <c r="B33" t="s">
        <v>939</v>
      </c>
      <c r="C33" t="s">
        <v>940</v>
      </c>
      <c r="D33" t="s">
        <v>31</v>
      </c>
      <c r="E33">
        <v>31220.19</v>
      </c>
      <c r="F33" t="s">
        <v>210</v>
      </c>
    </row>
    <row r="34" ht="30" customHeight="1">
      <c r="B34" t="s">
        <v>941</v>
      </c>
      <c r="C34" s="21">
        <v>0.0003989</v>
      </c>
      <c r="D34" t="s">
        <v>69</v>
      </c>
      <c r="E34">
        <v>31220.19</v>
      </c>
      <c r="F34" t="s">
        <v>31</v>
      </c>
      <c r="G34" s="1">
        <v>12.453733791</v>
      </c>
      <c r="H34" t="s">
        <v>210</v>
      </c>
    </row>
    <row r="35" ht="45" customHeight="1">
      <c r="B35" t="s">
        <v>942</v>
      </c>
      <c r="C35" s="21">
        <v>12.453733791</v>
      </c>
      <c r="D35" t="s">
        <v>69</v>
      </c>
      <c r="E35">
        <v>850.0000000000001</v>
      </c>
      <c r="F35" t="s">
        <v>31</v>
      </c>
      <c r="G35" s="1">
        <v>10585.67372235</v>
      </c>
      <c r="H35" t="s">
        <v>943</v>
      </c>
    </row>
    <row r="36" ht="15" customHeight="1">
      <c r="F36" t="s">
        <v>31</v>
      </c>
      <c r="G36" s="1">
        <v>10.58567372235</v>
      </c>
      <c r="H36" t="s">
        <v>913</v>
      </c>
    </row>
    <row r="37" ht="15.75" customHeight="1">
      <c r="A37" t="s">
        <v>944</v>
      </c>
      <c r="B37" t="s">
        <v>945</v>
      </c>
    </row>
    <row r="38" ht="15.75" customHeight="1">
      <c r="A38" t="s">
        <v>1</v>
      </c>
      <c r="B38" t="s">
        <v>946</v>
      </c>
    </row>
    <row r="39" ht="15" customHeight="1">
      <c r="B39" t="s">
        <v>947</v>
      </c>
      <c r="D39" t="s">
        <v>31</v>
      </c>
      <c r="E39" s="1">
        <v>2.612612612612612</v>
      </c>
      <c r="F39" t="s">
        <v>913</v>
      </c>
    </row>
    <row r="40" ht="15" customHeight="1">
      <c r="B40" t="s">
        <v>948</v>
      </c>
    </row>
    <row r="41" ht="15.75" customHeight="1">
      <c r="A41" t="s">
        <v>949</v>
      </c>
    </row>
    <row r="42" ht="20.25" customHeight="1">
      <c r="B42" t="s">
        <v>950</v>
      </c>
    </row>
    <row r="43" ht="19.5" customHeight="1">
      <c r="B43" t="s">
        <v>951</v>
      </c>
    </row>
    <row r="44" ht="20.25" customHeight="1">
      <c r="B44" t="s">
        <v>952</v>
      </c>
    </row>
    <row r="45" ht="15" customHeight="1">
      <c r="B45" t="s">
        <v>953</v>
      </c>
    </row>
    <row r="46" ht="15" customHeight="1">
      <c r="B46" t="s">
        <v>954</v>
      </c>
    </row>
    <row r="47" ht="15" customHeight="1">
      <c r="B47" t="s">
        <v>955</v>
      </c>
    </row>
    <row r="48" ht="15" customHeight="1">
      <c r="B48" t="s">
        <v>956</v>
      </c>
    </row>
    <row r="49" ht="15" customHeight="1">
      <c r="B49" t="s">
        <v>957</v>
      </c>
    </row>
    <row r="50" ht="15" customHeight="1">
      <c r="B50" t="s">
        <v>958</v>
      </c>
    </row>
    <row r="51" ht="15" customHeight="1">
      <c r="B51" t="s">
        <v>959</v>
      </c>
    </row>
    <row r="52" ht="15" customHeight="1">
      <c r="B52" t="s">
        <v>960</v>
      </c>
      <c r="C52">
        <v>90</v>
      </c>
      <c r="D52">
        <v>0</v>
      </c>
      <c r="F52" t="s">
        <v>961</v>
      </c>
      <c r="G52">
        <v>35</v>
      </c>
      <c r="H52">
        <v>0</v>
      </c>
    </row>
    <row r="53" ht="15" customHeight="1">
      <c r="B53" t="s">
        <v>962</v>
      </c>
      <c r="C53">
        <v>17.5</v>
      </c>
      <c r="D53">
        <v>0</v>
      </c>
      <c r="F53" t="s">
        <v>963</v>
      </c>
      <c r="G53">
        <v>0</v>
      </c>
      <c r="H53">
        <v>0</v>
      </c>
    </row>
    <row r="54" ht="19.5" customHeight="1">
      <c r="B54" t="s">
        <v>964</v>
      </c>
      <c r="C54">
        <v>0.496</v>
      </c>
      <c r="D54" t="s">
        <v>965</v>
      </c>
    </row>
    <row r="55" ht="15" customHeight="1">
      <c r="B55" t="s">
        <v>966</v>
      </c>
      <c r="C55" s="1">
        <v>4.204000000000019</v>
      </c>
      <c r="D55" t="s">
        <v>63</v>
      </c>
    </row>
    <row r="56" ht="15" customHeight="1">
      <c r="B56" t="s">
        <v>967</v>
      </c>
    </row>
    <row r="57" ht="14.25" customHeight="1">
      <c r="B57">
        <v>0.5</v>
      </c>
      <c r="C57" t="s">
        <v>69</v>
      </c>
      <c r="D57">
        <v>18</v>
      </c>
      <c r="E57" t="s">
        <v>69</v>
      </c>
      <c r="F57" s="1">
        <v>4.204000000000019</v>
      </c>
      <c r="G57" t="s">
        <v>968</v>
      </c>
      <c r="H57">
        <v>0.496</v>
      </c>
    </row>
    <row r="58" ht="15" customHeight="1">
      <c r="B58" t="s">
        <v>31</v>
      </c>
      <c r="C58" s="1">
        <v>78.9</v>
      </c>
      <c r="D58" t="s">
        <v>913</v>
      </c>
    </row>
    <row r="59" ht="15" customHeight="1">
      <c r="B59" t="s">
        <v>969</v>
      </c>
      <c r="C59">
        <v>0.42</v>
      </c>
      <c r="D59" t="s">
        <v>69</v>
      </c>
      <c r="E59" s="1">
        <v>4.204000000000019</v>
      </c>
      <c r="F59" t="s">
        <v>31</v>
      </c>
      <c r="G59">
        <v>1.77</v>
      </c>
      <c r="H59" t="s">
        <v>63</v>
      </c>
    </row>
    <row r="60" ht="15" customHeight="1">
      <c r="B60" t="s">
        <v>970</v>
      </c>
    </row>
    <row r="61" ht="15.75" customHeight="1">
      <c r="A61" t="s">
        <v>971</v>
      </c>
    </row>
    <row r="62" ht="15" customHeight="1">
      <c r="B62" t="s">
        <v>972</v>
      </c>
    </row>
    <row r="63" ht="15" customHeight="1">
      <c r="B63" t="s">
        <v>973</v>
      </c>
      <c r="E63">
        <v>45.04</v>
      </c>
      <c r="F63" t="s">
        <v>913</v>
      </c>
    </row>
    <row r="64" ht="15" customHeight="1">
      <c r="B64" t="s">
        <v>974</v>
      </c>
      <c r="E64">
        <v>15.02</v>
      </c>
      <c r="F64" t="s">
        <v>913</v>
      </c>
    </row>
    <row r="65">
      <c r="D65" t="s">
        <v>71</v>
      </c>
      <c r="E65">
        <v>60.06</v>
      </c>
      <c r="F65" t="s">
        <v>913</v>
      </c>
    </row>
    <row r="66" ht="15" customHeight="1">
      <c r="B66" t="s">
        <v>975</v>
      </c>
      <c r="C66">
        <v>2.1020000000000096</v>
      </c>
      <c r="D66" t="s">
        <v>976</v>
      </c>
    </row>
    <row r="67" ht="15" customHeight="1">
      <c r="B67" t="s">
        <v>977</v>
      </c>
    </row>
    <row r="68" ht="15" customHeight="1">
      <c r="B68" t="s">
        <v>1360</v>
      </c>
      <c r="C68">
        <v>77.75999999999999</v>
      </c>
      <c r="D68" t="s">
        <v>913</v>
      </c>
    </row>
    <row r="69" ht="15.75" customHeight="1">
      <c r="A69" t="s">
        <v>979</v>
      </c>
    </row>
    <row r="70" ht="15" customHeight="1">
      <c r="B70" t="s">
        <v>980</v>
      </c>
      <c r="C70" t="s">
        <v>1361</v>
      </c>
      <c r="D70" t="s">
        <v>61</v>
      </c>
      <c r="E70">
        <v>57.68</v>
      </c>
      <c r="F70" t="s">
        <v>913</v>
      </c>
    </row>
    <row r="71" ht="15.75" customHeight="1">
      <c r="A71" t="s">
        <v>982</v>
      </c>
    </row>
    <row r="72" ht="15" customHeight="1">
      <c r="B72" t="s">
        <v>983</v>
      </c>
    </row>
    <row r="73" ht="15" customHeight="1">
      <c r="B73" t="s">
        <v>984</v>
      </c>
    </row>
    <row r="74" ht="15" customHeight="1">
      <c r="B74" t="s">
        <v>985</v>
      </c>
    </row>
    <row r="75" ht="15.75" customHeight="1">
      <c r="B75" t="s">
        <v>986</v>
      </c>
    </row>
    <row r="76" ht="15" customHeight="1">
      <c r="B76" t="s">
        <v>987</v>
      </c>
    </row>
    <row r="77" ht="15" customHeight="1">
      <c r="B77" t="s">
        <v>988</v>
      </c>
      <c r="C77" s="1">
        <v>337.061</v>
      </c>
      <c r="D77" t="s">
        <v>301</v>
      </c>
    </row>
    <row r="78" ht="15" customHeight="1">
      <c r="B78" t="s">
        <v>989</v>
      </c>
      <c r="C78" s="1">
        <v>1288.387</v>
      </c>
      <c r="D78" t="s">
        <v>301</v>
      </c>
    </row>
    <row r="79" ht="15" customHeight="1">
      <c r="B79" t="s">
        <v>990</v>
      </c>
      <c r="C79" s="1">
        <v>1288.387</v>
      </c>
      <c r="D79" t="s">
        <v>85</v>
      </c>
      <c r="E79" s="1">
        <v>337.061</v>
      </c>
      <c r="F79" t="s">
        <v>31</v>
      </c>
      <c r="G79">
        <v>3.82</v>
      </c>
    </row>
    <row r="80" ht="15" customHeight="1">
      <c r="B80" t="s">
        <v>991</v>
      </c>
      <c r="G80" t="s">
        <v>992</v>
      </c>
    </row>
    <row r="81" ht="19.5" customHeight="1">
      <c r="B81" t="s">
        <v>993</v>
      </c>
    </row>
    <row r="82" ht="15" customHeight="1">
      <c r="C82" t="s">
        <v>1362</v>
      </c>
      <c r="E82">
        <v>1.95</v>
      </c>
      <c r="F82" t="s">
        <v>63</v>
      </c>
    </row>
    <row r="83" ht="15.75" customHeight="1">
      <c r="A83" t="s">
        <v>995</v>
      </c>
    </row>
    <row r="84" ht="19.5" customHeight="1">
      <c r="B84" t="s">
        <v>996</v>
      </c>
      <c r="C84">
        <v>5.1</v>
      </c>
      <c r="D84" t="s">
        <v>997</v>
      </c>
      <c r="E84" s="1">
        <v>0.85</v>
      </c>
      <c r="F84" t="s">
        <v>63</v>
      </c>
    </row>
    <row r="85" ht="19.5" customHeight="1">
      <c r="B85" t="s">
        <v>998</v>
      </c>
      <c r="C85" s="1">
        <v>2.55</v>
      </c>
      <c r="D85" t="s">
        <v>114</v>
      </c>
      <c r="E85">
        <v>1.95</v>
      </c>
      <c r="F85" t="s">
        <v>31</v>
      </c>
      <c r="G85" s="1">
        <v>0.6</v>
      </c>
      <c r="H85" t="s">
        <v>63</v>
      </c>
    </row>
    <row r="86">
      <c r="F86" t="s">
        <v>999</v>
      </c>
      <c r="G86" s="1">
        <v>0.85</v>
      </c>
      <c r="H86" t="s">
        <v>63</v>
      </c>
    </row>
    <row r="87" ht="15.75" customHeight="1">
      <c r="B87" t="s">
        <v>1000</v>
      </c>
    </row>
    <row r="88" ht="15" customHeight="1">
      <c r="B88" t="s">
        <v>1001</v>
      </c>
    </row>
    <row r="89" ht="15" customHeight="1">
      <c r="B89" t="s">
        <v>988</v>
      </c>
      <c r="C89" s="1">
        <v>305.702</v>
      </c>
      <c r="D89" t="s">
        <v>301</v>
      </c>
    </row>
    <row r="90" ht="15" customHeight="1">
      <c r="B90" t="s">
        <v>989</v>
      </c>
      <c r="C90" s="1">
        <v>1170.5529999999999</v>
      </c>
      <c r="D90" t="s">
        <v>301</v>
      </c>
    </row>
    <row r="91" ht="15" customHeight="1">
      <c r="B91" t="s">
        <v>990</v>
      </c>
      <c r="C91" s="1">
        <v>1170.5529999999999</v>
      </c>
      <c r="D91" t="s">
        <v>85</v>
      </c>
      <c r="E91" s="1">
        <v>305.702</v>
      </c>
      <c r="F91" t="s">
        <v>31</v>
      </c>
      <c r="G91">
        <v>3.83</v>
      </c>
    </row>
    <row r="92" ht="15" customHeight="1">
      <c r="B92" t="s">
        <v>991</v>
      </c>
      <c r="G92" t="s">
        <v>992</v>
      </c>
    </row>
    <row r="93" ht="19.5" customHeight="1">
      <c r="B93" t="s">
        <v>1002</v>
      </c>
    </row>
    <row r="94" ht="15" customHeight="1">
      <c r="C94" t="s">
        <v>1363</v>
      </c>
      <c r="E94">
        <v>2.06</v>
      </c>
      <c r="F94" t="s">
        <v>63</v>
      </c>
    </row>
    <row r="95" ht="15.75" customHeight="1">
      <c r="A95" t="s">
        <v>1004</v>
      </c>
    </row>
    <row r="96" ht="15" customHeight="1">
      <c r="B96" t="s">
        <v>1005</v>
      </c>
    </row>
    <row r="97" ht="15" customHeight="1">
      <c r="B97" t="s">
        <v>1006</v>
      </c>
      <c r="C97" s="1">
        <v>488.96299999999997</v>
      </c>
      <c r="D97" t="s">
        <v>182</v>
      </c>
    </row>
    <row r="98" ht="15" customHeight="1">
      <c r="D98" s="1">
        <v>488.96299999999997</v>
      </c>
      <c r="E98" t="s">
        <v>1007</v>
      </c>
    </row>
    <row r="99" ht="15.75" customHeight="1">
      <c r="A99" t="s">
        <v>1008</v>
      </c>
    </row>
    <row r="100" ht="15.75" customHeight="1">
      <c r="B100" t="s">
        <v>1009</v>
      </c>
      <c r="C100" t="s">
        <v>1364</v>
      </c>
      <c r="E100" t="s">
        <v>31</v>
      </c>
      <c r="F100">
        <v>163.56</v>
      </c>
      <c r="G100" t="s">
        <v>258</v>
      </c>
    </row>
    <row r="101">
      <c r="B101" t="s">
        <v>1011</v>
      </c>
      <c r="C101" t="s">
        <v>1365</v>
      </c>
      <c r="E101" t="s">
        <v>31</v>
      </c>
      <c r="F101">
        <v>28.200000000000003</v>
      </c>
      <c r="G101" t="s">
        <v>258</v>
      </c>
    </row>
    <row r="102" ht="16.5" customHeight="1">
      <c r="A102" t="s">
        <v>1013</v>
      </c>
    </row>
    <row r="103" ht="16.5" customHeight="1">
      <c r="A103" t="s">
        <v>1014</v>
      </c>
      <c r="B103" t="s">
        <v>1015</v>
      </c>
      <c r="C103" t="s">
        <v>1016</v>
      </c>
      <c r="E103" t="s">
        <v>1017</v>
      </c>
    </row>
    <row r="104" ht="15.75" customHeight="1">
      <c r="A104" t="s">
        <v>1018</v>
      </c>
      <c r="C104" t="s">
        <v>51</v>
      </c>
      <c r="D104" t="s">
        <v>1019</v>
      </c>
      <c r="E104" t="s">
        <v>1020</v>
      </c>
    </row>
    <row r="105" ht="20.25" customHeight="1">
      <c r="E105" t="s">
        <v>63</v>
      </c>
      <c r="F105" t="s">
        <v>1021</v>
      </c>
      <c r="G105" t="s">
        <v>1022</v>
      </c>
    </row>
    <row r="106" ht="16.5" customHeight="1">
      <c r="A106" t="s">
        <v>712</v>
      </c>
      <c r="B106" t="s">
        <v>1023</v>
      </c>
      <c r="C106" s="1">
        <v>90.17068320000016</v>
      </c>
      <c r="D106" t="s">
        <v>114</v>
      </c>
      <c r="E106">
        <v>1.73</v>
      </c>
      <c r="F106" s="2">
        <v>156</v>
      </c>
      <c r="G106" t="s">
        <v>114</v>
      </c>
    </row>
    <row r="107" ht="30.75" customHeight="1">
      <c r="A107" t="s">
        <v>714</v>
      </c>
      <c r="B107" t="s">
        <v>1024</v>
      </c>
      <c r="C107">
        <v>0</v>
      </c>
      <c r="D107" s="1">
        <v>10.58567372235</v>
      </c>
      <c r="E107" s="1">
        <v>3.76</v>
      </c>
      <c r="F107" t="s">
        <v>114</v>
      </c>
      <c r="G107" s="2">
        <v>39.802133196035996</v>
      </c>
    </row>
    <row r="108" ht="16.5" customHeight="1">
      <c r="A108" t="s">
        <v>716</v>
      </c>
      <c r="B108" t="s">
        <v>1025</v>
      </c>
      <c r="C108">
        <v>0</v>
      </c>
      <c r="D108" s="1">
        <v>78.9</v>
      </c>
      <c r="E108">
        <v>1.77</v>
      </c>
      <c r="F108" t="s">
        <v>114</v>
      </c>
      <c r="G108" s="2">
        <v>139.65300000000002</v>
      </c>
    </row>
    <row r="109" ht="30.75" customHeight="1">
      <c r="A109" t="s">
        <v>718</v>
      </c>
      <c r="B109" t="s">
        <v>1026</v>
      </c>
      <c r="C109">
        <v>0</v>
      </c>
      <c r="D109" s="1">
        <v>60.06</v>
      </c>
      <c r="E109">
        <v>2.1020000000000096</v>
      </c>
      <c r="F109" t="s">
        <v>114</v>
      </c>
      <c r="G109" s="2">
        <v>126.24612000000059</v>
      </c>
    </row>
    <row r="110" ht="15" customHeight="1">
      <c r="A110" t="s">
        <v>720</v>
      </c>
      <c r="B110" t="s">
        <v>1027</v>
      </c>
      <c r="C110" s="1">
        <v>77.75999999999999</v>
      </c>
      <c r="D110" t="s">
        <v>114</v>
      </c>
      <c r="E110">
        <v>3.75</v>
      </c>
      <c r="F110">
        <v>291.59999999999997</v>
      </c>
      <c r="G110" t="s">
        <v>114</v>
      </c>
    </row>
    <row r="111" ht="15.75" customHeight="1">
      <c r="B111" t="s">
        <v>1028</v>
      </c>
    </row>
    <row r="112" ht="15" customHeight="1">
      <c r="A112" t="s">
        <v>1029</v>
      </c>
      <c r="B112" t="s">
        <v>1030</v>
      </c>
      <c r="C112" s="1">
        <v>122.4</v>
      </c>
      <c r="D112" t="s">
        <v>114</v>
      </c>
      <c r="E112">
        <v>2.55</v>
      </c>
      <c r="F112">
        <v>312.12</v>
      </c>
      <c r="G112" t="s">
        <v>114</v>
      </c>
    </row>
    <row r="113" ht="15.75" customHeight="1">
      <c r="B113" t="s">
        <v>1366</v>
      </c>
    </row>
    <row r="114" ht="15" customHeight="1">
      <c r="A114" t="s">
        <v>1032</v>
      </c>
      <c r="B114" t="s">
        <v>1033</v>
      </c>
      <c r="C114" s="1">
        <v>39.169999999999995</v>
      </c>
      <c r="D114" t="s">
        <v>114</v>
      </c>
      <c r="E114">
        <v>1.8800000000000001</v>
      </c>
      <c r="F114">
        <v>73.63959999999999</v>
      </c>
      <c r="G114" t="s">
        <v>114</v>
      </c>
    </row>
    <row r="115" ht="15.75" customHeight="1">
      <c r="B115" t="s">
        <v>1367</v>
      </c>
    </row>
    <row r="116" ht="15" customHeight="1">
      <c r="A116" t="s">
        <v>1035</v>
      </c>
      <c r="B116" t="s">
        <v>1036</v>
      </c>
      <c r="C116" s="1">
        <v>30.24</v>
      </c>
      <c r="D116" t="s">
        <v>114</v>
      </c>
      <c r="E116" t="s">
        <v>1037</v>
      </c>
      <c r="F116">
        <v>50.8032</v>
      </c>
      <c r="G116" t="s">
        <v>114</v>
      </c>
    </row>
    <row r="117" ht="15.75" customHeight="1">
      <c r="B117" t="s">
        <v>1038</v>
      </c>
    </row>
    <row r="118" ht="15" customHeight="1">
      <c r="A118" t="s">
        <v>1039</v>
      </c>
      <c r="B118" t="s">
        <v>1040</v>
      </c>
      <c r="C118" s="1">
        <v>3.24</v>
      </c>
      <c r="D118" t="s">
        <v>114</v>
      </c>
      <c r="E118" t="s">
        <v>1041</v>
      </c>
      <c r="F118">
        <v>6.6419999999999995</v>
      </c>
      <c r="G118" t="s">
        <v>114</v>
      </c>
    </row>
    <row r="119" ht="15.75" customHeight="1">
      <c r="B119" t="s">
        <v>1042</v>
      </c>
    </row>
    <row r="120" ht="30" customHeight="1">
      <c r="A120" t="s">
        <v>1047</v>
      </c>
      <c r="B120" t="s">
        <v>1048</v>
      </c>
      <c r="C120">
        <v>57.68</v>
      </c>
      <c r="D120" t="s">
        <v>114</v>
      </c>
      <c r="E120">
        <v>4.85</v>
      </c>
      <c r="F120">
        <v>279.748</v>
      </c>
      <c r="G120" t="s">
        <v>114</v>
      </c>
    </row>
    <row r="121" ht="15.75" customHeight="1">
      <c r="B121" t="s">
        <v>1368</v>
      </c>
    </row>
    <row r="122" ht="15.75" customHeight="1">
      <c r="A122" t="s">
        <v>1052</v>
      </c>
      <c r="B122" t="s">
        <v>1053</v>
      </c>
      <c r="C122" s="1">
        <v>420.661</v>
      </c>
      <c r="F122" s="1">
        <v>1170.5529999999999</v>
      </c>
      <c r="G122" s="1">
        <v>305.702</v>
      </c>
    </row>
    <row r="123" ht="16.5" customHeight="1">
      <c r="B123" t="s">
        <v>1054</v>
      </c>
    </row>
    <row r="124" ht="15" customHeight="1">
      <c r="A124" t="s">
        <v>1055</v>
      </c>
      <c r="B124" t="s">
        <v>1056</v>
      </c>
      <c r="C124" s="1">
        <v>65.6888622754491</v>
      </c>
      <c r="D124" t="s">
        <v>114</v>
      </c>
      <c r="E124">
        <v>1.725</v>
      </c>
      <c r="F124">
        <v>113.3132874251497</v>
      </c>
      <c r="G124" t="s">
        <v>114</v>
      </c>
    </row>
    <row r="125" ht="15.75" customHeight="1">
      <c r="B125" t="s">
        <v>1057</v>
      </c>
    </row>
    <row r="126" ht="16.5" customHeight="1">
      <c r="A126" t="s">
        <v>1058</v>
      </c>
      <c r="B126" t="s">
        <v>1059</v>
      </c>
      <c r="C126" s="1">
        <v>2.612612612612612</v>
      </c>
      <c r="D126" t="s">
        <v>114</v>
      </c>
      <c r="E126">
        <v>1.73</v>
      </c>
      <c r="F126" s="2">
        <v>4.519819819819819</v>
      </c>
      <c r="G126" t="s">
        <v>114</v>
      </c>
    </row>
    <row r="127" ht="16.5" customHeight="1">
      <c r="A127" t="s">
        <v>1060</v>
      </c>
      <c r="B127" t="s">
        <v>1061</v>
      </c>
      <c r="C127" s="1">
        <v>0</v>
      </c>
      <c r="D127" s="1">
        <v>8.34</v>
      </c>
      <c r="E127" s="1">
        <v>3.76</v>
      </c>
      <c r="G127">
        <v>31.358399999999996</v>
      </c>
    </row>
    <row r="128" ht="15.75" customHeight="1">
      <c r="A128" t="s">
        <v>1062</v>
      </c>
      <c r="B128" t="s">
        <v>1063</v>
      </c>
      <c r="C128" s="1">
        <v>488.96299999999997</v>
      </c>
      <c r="D128" s="1">
        <v>157.88567372235</v>
      </c>
      <c r="E128" t="s">
        <v>114</v>
      </c>
      <c r="F128" s="1">
        <v>1288.387</v>
      </c>
      <c r="G128" s="1">
        <v>337.061</v>
      </c>
    </row>
    <row r="129" ht="16.5" customHeight="1">
      <c r="B129" t="s">
        <v>1064</v>
      </c>
    </row>
    <row r="130" ht="15.75" customHeight="1">
      <c r="B130" t="s">
        <v>1065</v>
      </c>
      <c r="C130" s="1">
        <v>1288.387</v>
      </c>
      <c r="D130" t="s">
        <v>114</v>
      </c>
      <c r="E130" s="1">
        <v>337.061</v>
      </c>
      <c r="F130" t="s">
        <v>31</v>
      </c>
      <c r="G130" s="1">
        <v>951.326</v>
      </c>
    </row>
    <row r="131" ht="15.75" customHeight="1"/>
    <row r="132" ht="15" customHeight="1">
      <c r="B132" t="s">
        <v>1066</v>
      </c>
      <c r="C132">
        <v>163.56</v>
      </c>
      <c r="D132" t="s">
        <v>1067</v>
      </c>
      <c r="E132" s="1">
        <v>200</v>
      </c>
      <c r="F132" t="s">
        <v>1068</v>
      </c>
    </row>
    <row r="133" ht="15" customHeight="1">
      <c r="B133" t="s">
        <v>1069</v>
      </c>
      <c r="C133">
        <v>28.200000000000003</v>
      </c>
      <c r="D133" t="s">
        <v>1070</v>
      </c>
    </row>
    <row r="134" ht="15.75" customHeight="1">
      <c r="A134" t="s">
        <v>1071</v>
      </c>
    </row>
    <row r="135" ht="15" customHeight="1">
      <c r="B135" t="s">
        <v>1072</v>
      </c>
    </row>
    <row r="136" ht="15" customHeight="1">
      <c r="B136" t="s">
        <v>1073</v>
      </c>
      <c r="C136" s="1">
        <v>157.88567372235</v>
      </c>
      <c r="D136" t="s">
        <v>1074</v>
      </c>
    </row>
    <row r="137" ht="15" customHeight="1">
      <c r="B137" t="s">
        <v>1075</v>
      </c>
      <c r="C137">
        <v>0.6</v>
      </c>
      <c r="D137" t="s">
        <v>177</v>
      </c>
      <c r="E137" s="1">
        <v>488.96299999999997</v>
      </c>
      <c r="F137" t="s">
        <v>124</v>
      </c>
      <c r="G137">
        <v>293.38</v>
      </c>
      <c r="H137" t="s">
        <v>182</v>
      </c>
    </row>
    <row r="138" ht="15" customHeight="1">
      <c r="B138" t="s">
        <v>1076</v>
      </c>
      <c r="C138">
        <v>293.38</v>
      </c>
      <c r="D138" t="s">
        <v>1077</v>
      </c>
      <c r="E138" s="1">
        <v>157.88567372235</v>
      </c>
      <c r="F138" t="s">
        <v>124</v>
      </c>
      <c r="G138">
        <v>1.86</v>
      </c>
    </row>
    <row r="139" ht="15.75" customHeight="1">
      <c r="A139" t="s">
        <v>1078</v>
      </c>
      <c r="G139" t="s">
        <v>992</v>
      </c>
    </row>
    <row r="140" ht="15" customHeight="1">
      <c r="B140" t="s">
        <v>1079</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1080</v>
      </c>
    </row>
    <row r="2" ht="15.75" customHeight="1">
      <c r="A2" t="s">
        <v>0</v>
      </c>
    </row>
    <row r="3" ht="15.75" customHeight="1">
      <c r="A3" t="s">
        <v>1081</v>
      </c>
    </row>
    <row r="4" ht="15.75" customHeight="1">
      <c r="A4" t="s">
        <v>488</v>
      </c>
    </row>
    <row r="5" ht="19.5" customHeight="1">
      <c r="B5" t="s">
        <v>489</v>
      </c>
      <c r="C5" t="s">
        <v>490</v>
      </c>
      <c r="D5" s="1">
        <v>14</v>
      </c>
      <c r="E5" t="s">
        <v>63</v>
      </c>
    </row>
    <row r="6" ht="19.5" customHeight="1">
      <c r="B6" t="s">
        <v>491</v>
      </c>
      <c r="C6" t="s">
        <v>492</v>
      </c>
      <c r="D6" s="1">
        <v>5.1</v>
      </c>
      <c r="E6" t="s">
        <v>63</v>
      </c>
    </row>
    <row r="7" ht="15.75" customHeight="1">
      <c r="B7" t="s">
        <v>1082</v>
      </c>
      <c r="D7" s="1">
        <v>3.0999999999999996</v>
      </c>
      <c r="E7" t="s">
        <v>63</v>
      </c>
    </row>
    <row r="8" ht="15.75" customHeight="1">
      <c r="B8" t="s">
        <v>494</v>
      </c>
      <c r="C8" t="s">
        <v>38</v>
      </c>
      <c r="D8" s="1">
        <v>488.96299999999997</v>
      </c>
      <c r="E8" t="s">
        <v>182</v>
      </c>
    </row>
    <row r="9" ht="19.5" customHeight="1">
      <c r="B9" t="s">
        <v>495</v>
      </c>
      <c r="C9" t="s">
        <v>496</v>
      </c>
      <c r="D9" s="1">
        <v>951.326</v>
      </c>
      <c r="E9" t="s">
        <v>301</v>
      </c>
    </row>
    <row r="10" ht="19.5" customHeight="1">
      <c r="B10" t="s">
        <v>497</v>
      </c>
      <c r="C10" t="s">
        <v>498</v>
      </c>
      <c r="D10" s="1">
        <v>0</v>
      </c>
      <c r="E10" t="s">
        <v>301</v>
      </c>
    </row>
    <row r="11" hidden="1" ht="19.5" customHeight="1">
      <c r="B11" t="s">
        <v>499</v>
      </c>
      <c r="C11" t="s">
        <v>500</v>
      </c>
      <c r="D11" s="1">
        <v>1.9455991557643422</v>
      </c>
      <c r="E11" t="s">
        <v>63</v>
      </c>
    </row>
    <row r="12" hidden="1" ht="19.5" customHeight="1">
      <c r="B12" t="s">
        <v>501</v>
      </c>
      <c r="C12" t="s">
        <v>502</v>
      </c>
      <c r="D12" s="1">
        <v>0</v>
      </c>
      <c r="E12" t="s">
        <v>63</v>
      </c>
    </row>
    <row r="13" hidden="1" ht="19.5" customHeight="1">
      <c r="B13" s="1" t="s">
        <v>503</v>
      </c>
      <c r="D13" s="1">
        <v>0.1389713682688816</v>
      </c>
      <c r="E13" s="1" t="s">
        <v>504</v>
      </c>
    </row>
    <row r="14" hidden="1" ht="19.5" customHeight="1">
      <c r="B14" s="1" t="s">
        <v>505</v>
      </c>
      <c r="D14" s="1">
        <v>0</v>
      </c>
    </row>
    <row r="15" hidden="1" ht="12.75" customHeight="1">
      <c r="B15" s="1" t="s">
        <v>506</v>
      </c>
      <c r="D15" s="1">
        <v>1</v>
      </c>
    </row>
    <row r="16" hidden="1" ht="15.75" customHeight="1">
      <c r="B16" s="1" t="s">
        <v>507</v>
      </c>
      <c r="D16" s="1">
        <v>0</v>
      </c>
    </row>
    <row r="17" ht="19.5" customHeight="1">
      <c r="B17" t="s">
        <v>508</v>
      </c>
      <c r="E17" s="1">
        <v>0</v>
      </c>
      <c r="F17" s="1" t="s">
        <v>367</v>
      </c>
      <c r="G17" s="1">
        <v>0</v>
      </c>
      <c r="H17" t="s">
        <v>249</v>
      </c>
    </row>
    <row r="18" ht="18.75" customHeight="1">
      <c r="B18" t="s">
        <v>509</v>
      </c>
      <c r="E18" s="1">
        <v>163.56</v>
      </c>
      <c r="F18" s="1" t="s">
        <v>258</v>
      </c>
    </row>
    <row r="19" ht="18.75" customHeight="1">
      <c r="B19" t="s">
        <v>510</v>
      </c>
      <c r="E19" s="1">
        <v>163.56</v>
      </c>
      <c r="F19" s="1" t="s">
        <v>258</v>
      </c>
    </row>
    <row r="20" ht="18.75" customHeight="1">
      <c r="B20" t="s">
        <v>511</v>
      </c>
      <c r="E20" s="1">
        <v>163.56</v>
      </c>
      <c r="F20" s="1" t="s">
        <v>258</v>
      </c>
    </row>
    <row r="21" ht="15" customHeight="1">
      <c r="B21" t="s">
        <v>512</v>
      </c>
      <c r="E21" s="1">
        <v>1</v>
      </c>
      <c r="F21" s="2" t="s">
        <v>63</v>
      </c>
    </row>
    <row r="22" ht="18.75" customHeight="1">
      <c r="B22" t="s">
        <v>513</v>
      </c>
      <c r="E22" s="1">
        <v>131.4894117647059</v>
      </c>
      <c r="F22" s="1" t="s">
        <v>258</v>
      </c>
    </row>
    <row r="23" ht="30" customHeight="1">
      <c r="B23" t="s">
        <v>514</v>
      </c>
      <c r="E23" s="1">
        <v>147.52470588235295</v>
      </c>
      <c r="F23" s="1" t="s">
        <v>258</v>
      </c>
    </row>
    <row r="24" ht="18.75" customHeight="1">
      <c r="B24" t="s">
        <v>515</v>
      </c>
      <c r="E24" s="1">
        <v>1</v>
      </c>
      <c r="F24" s="1" t="s">
        <v>367</v>
      </c>
    </row>
    <row r="25" ht="30" customHeight="1">
      <c r="B25" t="s">
        <v>516</v>
      </c>
      <c r="E25" s="1">
        <v>0.5181159420289855</v>
      </c>
      <c r="F25" s="2" t="s">
        <v>63</v>
      </c>
    </row>
    <row r="26" ht="15.75" customHeight="1">
      <c r="B26" t="s">
        <v>517</v>
      </c>
      <c r="E26" s="1">
        <v>76.43490196078432</v>
      </c>
      <c r="F26" s="1" t="s">
        <v>301</v>
      </c>
    </row>
    <row r="27" ht="15.75" customHeight="1">
      <c r="B27" t="s">
        <v>518</v>
      </c>
      <c r="E27" t="s">
        <v>405</v>
      </c>
    </row>
    <row r="28" ht="15.75" customHeight="1">
      <c r="B28" t="s">
        <v>519</v>
      </c>
      <c r="E28">
        <v>10</v>
      </c>
      <c r="F28" t="s">
        <v>210</v>
      </c>
    </row>
    <row r="29" ht="15.75" customHeight="1">
      <c r="B29" t="s">
        <v>63</v>
      </c>
      <c r="E29" s="1">
        <v>9.333333333333334</v>
      </c>
    </row>
    <row r="30" ht="15.75" customHeight="1">
      <c r="B30" t="s">
        <v>520</v>
      </c>
      <c r="E30">
        <v>200</v>
      </c>
    </row>
    <row r="31" ht="15.75" customHeight="1">
      <c r="B31" t="s">
        <v>521</v>
      </c>
      <c r="E31" s="2">
        <v>0.3181818181818182</v>
      </c>
    </row>
    <row r="32" ht="15.75" customHeight="1">
      <c r="B32" t="s">
        <v>522</v>
      </c>
      <c r="E32" s="2">
        <v>0.8939393939393939</v>
      </c>
    </row>
    <row r="33" ht="15.75" customHeight="1">
      <c r="B33" t="s">
        <v>151</v>
      </c>
      <c r="E33" s="2">
        <v>1.4221763085399448</v>
      </c>
    </row>
    <row r="34" ht="15.75" customHeight="1">
      <c r="B34" t="s">
        <v>523</v>
      </c>
      <c r="E34" s="4">
        <v>231.82973384564747</v>
      </c>
      <c r="F34" t="s">
        <v>208</v>
      </c>
    </row>
    <row r="35" ht="15.75" customHeight="1">
      <c r="B35" t="s">
        <v>524</v>
      </c>
      <c r="E35" s="4">
        <v>1000</v>
      </c>
      <c r="F35" t="s">
        <v>208</v>
      </c>
    </row>
    <row r="36" ht="15.75" customHeight="1">
      <c r="B36" t="s">
        <v>525</v>
      </c>
      <c r="E36" s="4">
        <v>50</v>
      </c>
      <c r="F36" t="s">
        <v>208</v>
      </c>
    </row>
    <row r="37" ht="15.75" customHeight="1">
      <c r="B37" t="s">
        <v>526</v>
      </c>
      <c r="E37" s="4">
        <v>16</v>
      </c>
      <c r="F37" t="s">
        <v>208</v>
      </c>
    </row>
    <row r="38" ht="15.75" customHeight="1">
      <c r="B38" t="s">
        <v>527</v>
      </c>
      <c r="E38" s="4">
        <v>942</v>
      </c>
      <c r="F38" t="s">
        <v>208</v>
      </c>
    </row>
    <row r="39" ht="15.75" customHeight="1">
      <c r="B39" t="s">
        <v>528</v>
      </c>
      <c r="E39">
        <v>942</v>
      </c>
      <c r="F39" t="s">
        <v>208</v>
      </c>
    </row>
    <row r="40" ht="18" customHeight="1">
      <c r="B40" t="s">
        <v>529</v>
      </c>
      <c r="E40" s="4">
        <v>453.8399663006733</v>
      </c>
      <c r="F40" t="s">
        <v>435</v>
      </c>
    </row>
    <row r="41" ht="18" customHeight="1">
      <c r="B41" t="s">
        <v>530</v>
      </c>
      <c r="E41" s="4">
        <v>200.96</v>
      </c>
      <c r="F41" t="s">
        <v>435</v>
      </c>
    </row>
    <row r="42" ht="15.75" customHeight="1">
      <c r="B42" t="s">
        <v>531</v>
      </c>
      <c r="E42" s="4">
        <v>442.799257275773</v>
      </c>
      <c r="F42" t="s">
        <v>208</v>
      </c>
    </row>
    <row r="43" ht="15.75" customHeight="1">
      <c r="B43" t="s">
        <v>532</v>
      </c>
      <c r="C43" s="4">
        <v>16</v>
      </c>
      <c r="D43" t="s">
        <v>208</v>
      </c>
      <c r="E43" s="4">
        <v>150</v>
      </c>
      <c r="F43" t="s">
        <v>208</v>
      </c>
      <c r="G43" t="s">
        <v>1083</v>
      </c>
    </row>
    <row r="44" ht="18" customHeight="1">
      <c r="B44" t="s">
        <v>534</v>
      </c>
      <c r="E44" s="4">
        <v>1884</v>
      </c>
      <c r="F44" t="s">
        <v>435</v>
      </c>
    </row>
    <row r="45" ht="21" customHeight="1">
      <c r="B45" t="s">
        <v>535</v>
      </c>
      <c r="E45">
        <v>20</v>
      </c>
      <c r="F45" t="s">
        <v>208</v>
      </c>
    </row>
    <row r="46" ht="18" customHeight="1">
      <c r="B46" t="s">
        <v>536</v>
      </c>
      <c r="E46">
        <v>314</v>
      </c>
      <c r="F46" t="s">
        <v>435</v>
      </c>
    </row>
    <row r="47" ht="15.75" customHeight="1">
      <c r="B47" t="s">
        <v>537</v>
      </c>
      <c r="E47" s="4">
        <v>166.66666666666666</v>
      </c>
      <c r="F47" t="s">
        <v>208</v>
      </c>
    </row>
    <row r="48" ht="15.75" customHeight="1">
      <c r="B48" t="s">
        <v>532</v>
      </c>
      <c r="C48">
        <v>16</v>
      </c>
      <c r="D48" t="s">
        <v>208</v>
      </c>
      <c r="E48">
        <v>160</v>
      </c>
      <c r="F48" t="s">
        <v>208</v>
      </c>
      <c r="G48" t="s">
        <v>1083</v>
      </c>
    </row>
    <row r="49"/>
    <row r="50" ht="25.5" customHeight="1">
      <c r="B50" t="s">
        <v>538</v>
      </c>
      <c r="C50">
        <v>12</v>
      </c>
      <c r="D50" t="s">
        <v>208</v>
      </c>
      <c r="E50">
        <v>150</v>
      </c>
      <c r="F50" t="s">
        <v>208</v>
      </c>
    </row>
    <row r="51" ht="25.5" customHeight="1">
      <c r="B51" t="s">
        <v>539</v>
      </c>
      <c r="C51">
        <v>12</v>
      </c>
      <c r="D51" t="s">
        <v>208</v>
      </c>
      <c r="E51">
        <v>150</v>
      </c>
      <c r="F51" t="s">
        <v>208</v>
      </c>
    </row>
    <row r="52" ht="14.25" customHeight="1">
      <c r="A52" t="s">
        <v>540</v>
      </c>
      <c r="C52" t="s">
        <v>541</v>
      </c>
    </row>
    <row r="53">
      <c r="B53" t="s">
        <v>542</v>
      </c>
      <c r="E53">
        <v>942</v>
      </c>
      <c r="F53" t="s">
        <v>208</v>
      </c>
    </row>
    <row r="54">
      <c r="B54" t="s">
        <v>543</v>
      </c>
      <c r="E54" s="1">
        <v>0.05800000000000005</v>
      </c>
      <c r="F54" t="s">
        <v>63</v>
      </c>
    </row>
    <row r="55" ht="14.25" customHeight="1">
      <c r="B55" t="s">
        <v>511</v>
      </c>
      <c r="E55" s="1">
        <v>163.56</v>
      </c>
      <c r="F55" s="1" t="s">
        <v>258</v>
      </c>
    </row>
    <row r="56" ht="14.25" customHeight="1">
      <c r="B56" t="s">
        <v>544</v>
      </c>
      <c r="E56" s="1">
        <v>131.4894117647059</v>
      </c>
      <c r="F56" s="1" t="s">
        <v>258</v>
      </c>
    </row>
    <row r="57" ht="14.25" customHeight="1">
      <c r="B57" t="s">
        <v>514</v>
      </c>
      <c r="E57" s="1">
        <v>147.52470588235295</v>
      </c>
      <c r="F57" s="1" t="s">
        <v>258</v>
      </c>
    </row>
    <row r="58">
      <c r="B58" t="s">
        <v>545</v>
      </c>
      <c r="E58" s="1">
        <v>8.556432941176478</v>
      </c>
      <c r="F58" t="s">
        <v>182</v>
      </c>
    </row>
    <row r="59">
      <c r="B59" t="s">
        <v>546</v>
      </c>
      <c r="C59" t="s">
        <v>547</v>
      </c>
    </row>
    <row r="60" ht="14.25" customHeight="1">
      <c r="B60" t="s">
        <v>548</v>
      </c>
      <c r="E60" s="1">
        <v>0.009083262145622587</v>
      </c>
      <c r="F60" s="1" t="s">
        <v>210</v>
      </c>
    </row>
    <row r="61">
      <c r="B61" t="s">
        <v>549</v>
      </c>
      <c r="C61" t="s">
        <v>550</v>
      </c>
      <c r="E61" s="1">
        <v>0.14222222222222222</v>
      </c>
    </row>
    <row r="62" ht="14.25" customHeight="1">
      <c r="B62" t="s">
        <v>551</v>
      </c>
      <c r="E62" s="1">
        <v>0.23</v>
      </c>
      <c r="F62" s="1" t="s">
        <v>210</v>
      </c>
    </row>
    <row r="63">
      <c r="B63" t="s">
        <v>552</v>
      </c>
    </row>
    <row r="64" ht="14.25" customHeight="1">
      <c r="B64" t="s">
        <v>553</v>
      </c>
      <c r="E64" s="1">
        <v>0.23</v>
      </c>
      <c r="F64" s="1" t="s">
        <v>210</v>
      </c>
    </row>
    <row r="65" ht="26.25" customHeight="1">
      <c r="D65" t="s">
        <v>554</v>
      </c>
    </row>
    <row r="66" ht="21" customHeight="1">
      <c r="B66" t="s">
        <v>555</v>
      </c>
      <c r="E66">
        <v>16</v>
      </c>
      <c r="F66" t="s">
        <v>208</v>
      </c>
    </row>
    <row r="67" ht="14.25" customHeight="1">
      <c r="B67" t="s">
        <v>536</v>
      </c>
      <c r="E67" s="4">
        <v>200.96</v>
      </c>
      <c r="F67" t="s">
        <v>435</v>
      </c>
    </row>
    <row r="68">
      <c r="B68" t="s">
        <v>556</v>
      </c>
      <c r="E68" s="4">
        <v>8849.68403545842</v>
      </c>
      <c r="F68" t="s">
        <v>208</v>
      </c>
    </row>
    <row r="69">
      <c r="B69" t="s">
        <v>532</v>
      </c>
      <c r="C69">
        <v>16</v>
      </c>
      <c r="D69" t="s">
        <v>208</v>
      </c>
      <c r="E69">
        <v>150</v>
      </c>
      <c r="F69" t="s">
        <v>208</v>
      </c>
      <c r="G69" t="s">
        <v>1083</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63</v>
      </c>
    </row>
    <row r="8">
      <c r="B8" s="1">
        <v>1</v>
      </c>
      <c r="C8" t="s">
        <v>63</v>
      </c>
      <c r="F8" s="1">
        <v>1</v>
      </c>
      <c r="G8" t="s">
        <v>63</v>
      </c>
    </row>
    <row r="18">
      <c r="D18" s="1">
        <v>5.1</v>
      </c>
      <c r="E18" t="s">
        <v>63</v>
      </c>
    </row>
    <row r="21">
      <c r="B21" s="1">
        <v>258.56357441323684</v>
      </c>
      <c r="C21" t="s">
        <v>63</v>
      </c>
    </row>
    <row r="22"/>
    <row r="25">
      <c r="E25" s="1">
        <v>131.4894117647059</v>
      </c>
    </row>
    <row r="26" ht="14.25" customHeight="1">
      <c r="E26" s="1" t="s">
        <v>258</v>
      </c>
      <c r="G26" s="1">
        <v>163.56</v>
      </c>
      <c r="H26" s="1" t="s">
        <v>258</v>
      </c>
    </row>
    <row r="29">
      <c r="D29" t="s">
        <v>557</v>
      </c>
    </row>
    <row r="31">
      <c r="A31" t="s">
        <v>1080</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1369</v>
      </c>
    </row>
    <row r="2">
      <c r="A2" t="s">
        <v>1370</v>
      </c>
    </row>
    <row r="3">
      <c r="A3" t="s">
        <v>1081</v>
      </c>
    </row>
    <row r="4">
      <c r="A4" t="s">
        <v>488</v>
      </c>
    </row>
    <row r="5">
      <c r="B5" t="s">
        <v>1371</v>
      </c>
      <c r="D5" s="1">
        <v>0.9</v>
      </c>
      <c r="E5" t="s">
        <v>63</v>
      </c>
    </row>
    <row r="6" ht="15.75" customHeight="1">
      <c r="B6" t="s">
        <v>489</v>
      </c>
      <c r="C6" t="s">
        <v>490</v>
      </c>
      <c r="D6" s="1">
        <v>1</v>
      </c>
      <c r="E6" t="s">
        <v>63</v>
      </c>
    </row>
    <row r="7" ht="15.75" customHeight="1">
      <c r="B7" t="s">
        <v>491</v>
      </c>
      <c r="C7" t="s">
        <v>492</v>
      </c>
      <c r="D7" s="1">
        <v>3.2</v>
      </c>
      <c r="E7" t="s">
        <v>63</v>
      </c>
    </row>
    <row r="8">
      <c r="B8" t="s">
        <v>1082</v>
      </c>
      <c r="D8" s="1">
        <v>1.05</v>
      </c>
      <c r="E8" t="s">
        <v>63</v>
      </c>
    </row>
    <row r="9">
      <c r="B9" t="s">
        <v>494</v>
      </c>
      <c r="C9" t="s">
        <v>38</v>
      </c>
      <c r="D9" s="1">
        <v>606.677</v>
      </c>
      <c r="E9" t="s">
        <v>182</v>
      </c>
    </row>
    <row r="10" ht="15.75" customHeight="1">
      <c r="B10" t="s">
        <v>495</v>
      </c>
      <c r="C10" t="s">
        <v>496</v>
      </c>
      <c r="D10" s="1">
        <v>1311.6490000000001</v>
      </c>
      <c r="E10" t="s">
        <v>301</v>
      </c>
    </row>
    <row r="11" ht="15.75" customHeight="1">
      <c r="B11" t="s">
        <v>497</v>
      </c>
      <c r="C11" t="s">
        <v>498</v>
      </c>
      <c r="D11" s="1">
        <v>0</v>
      </c>
      <c r="E11" t="s">
        <v>301</v>
      </c>
    </row>
    <row r="12" hidden="1" ht="15.75" customHeight="1">
      <c r="B12" t="s">
        <v>499</v>
      </c>
      <c r="C12" t="s">
        <v>500</v>
      </c>
      <c r="D12" s="1">
        <v>2.1620219655599273</v>
      </c>
      <c r="E12" t="s">
        <v>63</v>
      </c>
    </row>
    <row r="13" hidden="1" ht="15.75" customHeight="1">
      <c r="B13" t="s">
        <v>501</v>
      </c>
      <c r="C13" t="s">
        <v>502</v>
      </c>
      <c r="D13" s="1">
        <v>0</v>
      </c>
      <c r="E13" t="s">
        <v>63</v>
      </c>
    </row>
    <row r="14" hidden="1" ht="15.75" customHeight="1">
      <c r="B14" s="1" t="s">
        <v>503</v>
      </c>
      <c r="D14" s="1">
        <v>2.1620219655599273</v>
      </c>
      <c r="E14" s="1" t="s">
        <v>504</v>
      </c>
    </row>
    <row r="15" hidden="1" ht="15.75" customHeight="1">
      <c r="B15" s="1" t="s">
        <v>505</v>
      </c>
      <c r="D15" s="1">
        <v>0</v>
      </c>
    </row>
    <row r="16" hidden="1" ht="12.75" customHeight="1">
      <c r="B16" s="1" t="s">
        <v>506</v>
      </c>
      <c r="D16" s="1">
        <v>1</v>
      </c>
    </row>
    <row r="17" hidden="1">
      <c r="B17" s="1" t="s">
        <v>507</v>
      </c>
      <c r="D17" s="1">
        <v>0</v>
      </c>
    </row>
    <row r="18" ht="15.75" customHeight="1">
      <c r="B18" t="s">
        <v>508</v>
      </c>
      <c r="E18" s="1">
        <v>0</v>
      </c>
      <c r="F18" s="1" t="s">
        <v>367</v>
      </c>
      <c r="G18" s="1">
        <v>0</v>
      </c>
      <c r="H18" t="s">
        <v>249</v>
      </c>
    </row>
    <row r="19" ht="15" customHeight="1">
      <c r="B19" t="s">
        <v>509</v>
      </c>
      <c r="E19" s="1">
        <v>189.58656249999999</v>
      </c>
      <c r="F19" s="1" t="s">
        <v>258</v>
      </c>
    </row>
    <row r="20" ht="13.5" customHeight="1">
      <c r="C20" s="1">
        <v>200</v>
      </c>
      <c r="D20" t="s">
        <v>1068</v>
      </c>
    </row>
    <row r="21" ht="14.25" customHeight="1">
      <c r="B21" t="s">
        <v>510</v>
      </c>
      <c r="E21" s="1">
        <v>189.58656249999999</v>
      </c>
      <c r="F21" s="1" t="s">
        <v>258</v>
      </c>
    </row>
    <row r="22" ht="14.25" customHeight="1">
      <c r="B22" t="s">
        <v>511</v>
      </c>
      <c r="E22" s="1">
        <v>189.58656249999999</v>
      </c>
      <c r="F22" s="1" t="s">
        <v>258</v>
      </c>
    </row>
    <row r="23" ht="15" customHeight="1">
      <c r="B23" t="s">
        <v>512</v>
      </c>
      <c r="E23" s="1">
        <v>0</v>
      </c>
      <c r="F23" s="2" t="s">
        <v>63</v>
      </c>
    </row>
    <row r="24" ht="14.25" customHeight="1">
      <c r="B24" t="s">
        <v>513</v>
      </c>
      <c r="E24" s="1">
        <v>189.58656249999999</v>
      </c>
      <c r="F24" s="1" t="s">
        <v>258</v>
      </c>
    </row>
    <row r="25" ht="14.25" customHeight="1">
      <c r="B25" t="s">
        <v>514</v>
      </c>
      <c r="E25" s="1">
        <v>189.58656249999999</v>
      </c>
      <c r="F25" s="1" t="s">
        <v>258</v>
      </c>
    </row>
    <row r="26" ht="14.25" customHeight="1">
      <c r="B26" t="s">
        <v>515</v>
      </c>
      <c r="E26" s="1">
        <v>0</v>
      </c>
      <c r="F26" s="1" t="s">
        <v>367</v>
      </c>
    </row>
    <row r="27" ht="25.5" customHeight="1">
      <c r="B27" t="s">
        <v>516</v>
      </c>
      <c r="E27" s="1">
        <v>0</v>
      </c>
      <c r="F27" s="2" t="s">
        <v>63</v>
      </c>
    </row>
    <row r="28">
      <c r="B28" t="s">
        <v>1372</v>
      </c>
      <c r="E28" s="1">
        <v>0</v>
      </c>
      <c r="F28" s="1" t="s">
        <v>301</v>
      </c>
    </row>
    <row r="29">
      <c r="B29" t="s">
        <v>518</v>
      </c>
      <c r="E29" t="s">
        <v>405</v>
      </c>
    </row>
    <row r="30">
      <c r="B30" t="s">
        <v>519</v>
      </c>
      <c r="E30">
        <v>10</v>
      </c>
      <c r="F30" t="s">
        <v>210</v>
      </c>
    </row>
    <row r="31">
      <c r="B31" t="s">
        <v>63</v>
      </c>
      <c r="E31" s="1">
        <v>9.333333333333334</v>
      </c>
    </row>
    <row r="32">
      <c r="B32" t="s">
        <v>520</v>
      </c>
      <c r="E32">
        <v>200</v>
      </c>
    </row>
    <row r="33">
      <c r="B33" t="s">
        <v>521</v>
      </c>
      <c r="E33" s="2">
        <v>0.3181818181818182</v>
      </c>
    </row>
    <row r="34">
      <c r="B34" t="s">
        <v>522</v>
      </c>
      <c r="E34" s="2">
        <v>0.8939393939393939</v>
      </c>
    </row>
    <row r="35">
      <c r="B35" t="s">
        <v>151</v>
      </c>
      <c r="E35" s="2">
        <v>1.4221763085399448</v>
      </c>
    </row>
    <row r="36" ht="13.5" customHeight="1">
      <c r="B36" t="s">
        <v>523</v>
      </c>
      <c r="E36" s="4">
        <v>0</v>
      </c>
      <c r="F36" t="s">
        <v>208</v>
      </c>
    </row>
    <row r="37" ht="13.5" customHeight="1">
      <c r="B37" t="s">
        <v>524</v>
      </c>
      <c r="E37" s="4">
        <v>500</v>
      </c>
      <c r="F37" t="s">
        <v>208</v>
      </c>
    </row>
    <row r="38">
      <c r="B38" t="s">
        <v>525</v>
      </c>
      <c r="E38" s="4">
        <v>50</v>
      </c>
      <c r="F38" t="s">
        <v>208</v>
      </c>
    </row>
    <row r="39">
      <c r="B39" t="s">
        <v>526</v>
      </c>
      <c r="E39" s="4">
        <v>16</v>
      </c>
      <c r="F39" t="s">
        <v>208</v>
      </c>
    </row>
    <row r="40">
      <c r="B40" t="s">
        <v>527</v>
      </c>
      <c r="E40" s="4">
        <v>442</v>
      </c>
      <c r="F40" t="s">
        <v>208</v>
      </c>
    </row>
    <row r="41">
      <c r="B41" t="s">
        <v>528</v>
      </c>
      <c r="E41">
        <v>442</v>
      </c>
      <c r="F41" t="s">
        <v>208</v>
      </c>
    </row>
    <row r="42" ht="14.25" customHeight="1">
      <c r="B42" t="s">
        <v>529</v>
      </c>
      <c r="E42" s="4">
        <v>0</v>
      </c>
      <c r="F42" t="s">
        <v>435</v>
      </c>
    </row>
    <row r="43" ht="14.25" customHeight="1">
      <c r="B43" t="s">
        <v>530</v>
      </c>
      <c r="E43" s="4">
        <v>200.96</v>
      </c>
      <c r="F43" t="s">
        <v>435</v>
      </c>
    </row>
    <row r="44">
      <c r="B44" t="s">
        <v>531</v>
      </c>
      <c r="E44" s="4" t="e">
        <v>#DIV/0!</v>
      </c>
      <c r="F44" t="s">
        <v>208</v>
      </c>
    </row>
    <row r="45">
      <c r="B45" t="s">
        <v>532</v>
      </c>
      <c r="C45" s="4">
        <v>16</v>
      </c>
      <c r="D45" t="s">
        <v>208</v>
      </c>
      <c r="E45" s="4">
        <v>150</v>
      </c>
      <c r="F45" t="s">
        <v>208</v>
      </c>
      <c r="G45" t="s">
        <v>1083</v>
      </c>
    </row>
    <row r="46" ht="14.25" customHeight="1">
      <c r="B46" t="s">
        <v>534</v>
      </c>
      <c r="E46" s="4">
        <v>884</v>
      </c>
      <c r="F46" t="s">
        <v>435</v>
      </c>
    </row>
    <row r="47" ht="21" customHeight="1">
      <c r="B47" t="s">
        <v>535</v>
      </c>
      <c r="E47" s="4">
        <v>16</v>
      </c>
      <c r="F47" t="s">
        <v>208</v>
      </c>
    </row>
    <row r="48" ht="14.25" customHeight="1">
      <c r="B48" t="s">
        <v>536</v>
      </c>
      <c r="E48">
        <v>200.96</v>
      </c>
      <c r="F48" t="s">
        <v>435</v>
      </c>
    </row>
    <row r="49">
      <c r="B49" t="s">
        <v>537</v>
      </c>
      <c r="E49" s="4">
        <v>227.33031674208144</v>
      </c>
      <c r="F49" t="s">
        <v>208</v>
      </c>
    </row>
    <row r="50">
      <c r="B50" t="s">
        <v>532</v>
      </c>
      <c r="C50">
        <v>16</v>
      </c>
      <c r="D50" t="s">
        <v>208</v>
      </c>
      <c r="E50">
        <v>220</v>
      </c>
      <c r="F50" t="s">
        <v>208</v>
      </c>
      <c r="G50" t="s">
        <v>1373</v>
      </c>
    </row>
    <row r="51"/>
    <row r="52" ht="25.5" customHeight="1">
      <c r="B52" t="s">
        <v>538</v>
      </c>
      <c r="C52">
        <v>12</v>
      </c>
      <c r="D52" t="s">
        <v>208</v>
      </c>
      <c r="E52">
        <v>150</v>
      </c>
      <c r="F52" t="s">
        <v>208</v>
      </c>
    </row>
    <row r="53" ht="25.5" customHeight="1">
      <c r="B53" t="s">
        <v>539</v>
      </c>
      <c r="C53">
        <v>12</v>
      </c>
      <c r="D53" t="s">
        <v>208</v>
      </c>
      <c r="E53">
        <v>150</v>
      </c>
      <c r="F53" t="s">
        <v>208</v>
      </c>
    </row>
    <row r="54" ht="14.25" customHeight="1">
      <c r="A54" t="s">
        <v>540</v>
      </c>
      <c r="C54" t="s">
        <v>541</v>
      </c>
    </row>
    <row r="55">
      <c r="B55" t="s">
        <v>542</v>
      </c>
      <c r="E55">
        <v>442</v>
      </c>
      <c r="F55" t="s">
        <v>208</v>
      </c>
    </row>
    <row r="56">
      <c r="B56" t="s">
        <v>543</v>
      </c>
      <c r="E56" s="1">
        <v>-0.442</v>
      </c>
      <c r="F56" t="s">
        <v>63</v>
      </c>
    </row>
    <row r="57" ht="14.25" customHeight="1">
      <c r="B57" t="s">
        <v>511</v>
      </c>
      <c r="E57" s="1">
        <v>189.58656249999999</v>
      </c>
      <c r="F57" s="1" t="s">
        <v>258</v>
      </c>
    </row>
    <row r="58" ht="14.25" customHeight="1">
      <c r="B58" t="s">
        <v>544</v>
      </c>
      <c r="E58" s="1">
        <v>189.58656249999999</v>
      </c>
      <c r="F58" s="1" t="s">
        <v>258</v>
      </c>
    </row>
    <row r="59" ht="14.25" customHeight="1">
      <c r="B59" t="s">
        <v>514</v>
      </c>
      <c r="E59" s="1">
        <v>189.58656249999999</v>
      </c>
      <c r="F59" s="1" t="s">
        <v>258</v>
      </c>
    </row>
    <row r="60">
      <c r="B60" t="s">
        <v>545</v>
      </c>
      <c r="E60" s="1">
        <v>-83.79726062499999</v>
      </c>
      <c r="F60" t="s">
        <v>182</v>
      </c>
    </row>
    <row r="61">
      <c r="B61" t="s">
        <v>546</v>
      </c>
      <c r="C61" t="s">
        <v>547</v>
      </c>
    </row>
    <row r="62" ht="14.25" customHeight="1">
      <c r="B62" t="s">
        <v>548</v>
      </c>
      <c r="E62" s="1">
        <v>-0.18958656249999997</v>
      </c>
      <c r="F62" s="1" t="s">
        <v>210</v>
      </c>
    </row>
    <row r="63">
      <c r="B63" t="s">
        <v>549</v>
      </c>
      <c r="C63" t="s">
        <v>550</v>
      </c>
      <c r="E63" s="1">
        <v>0.30310708898944194</v>
      </c>
    </row>
    <row r="64" ht="14.25" customHeight="1">
      <c r="B64" t="s">
        <v>551</v>
      </c>
      <c r="E64" s="1">
        <v>0.23</v>
      </c>
      <c r="F64" s="1" t="s">
        <v>210</v>
      </c>
    </row>
    <row r="65">
      <c r="B65" t="s">
        <v>552</v>
      </c>
    </row>
    <row r="66" ht="14.25" customHeight="1">
      <c r="B66" t="s">
        <v>553</v>
      </c>
      <c r="E66" s="1">
        <v>0.23</v>
      </c>
      <c r="F66" s="1" t="s">
        <v>210</v>
      </c>
    </row>
    <row r="67" ht="26.25" customHeight="1">
      <c r="D67" t="s">
        <v>554</v>
      </c>
    </row>
    <row r="68" ht="21" customHeight="1">
      <c r="B68" t="s">
        <v>555</v>
      </c>
      <c r="E68">
        <v>12</v>
      </c>
      <c r="F68" t="s">
        <v>208</v>
      </c>
    </row>
    <row r="69" ht="14.25" customHeight="1">
      <c r="B69" t="s">
        <v>536</v>
      </c>
      <c r="E69" s="4">
        <v>113.03999999999999</v>
      </c>
      <c r="F69" t="s">
        <v>435</v>
      </c>
    </row>
    <row r="70">
      <c r="B70" t="s">
        <v>556</v>
      </c>
      <c r="E70" s="4">
        <v>-238.49791569484256</v>
      </c>
      <c r="F70" t="s">
        <v>208</v>
      </c>
    </row>
    <row r="71">
      <c r="B71" t="s">
        <v>532</v>
      </c>
      <c r="C71">
        <v>12</v>
      </c>
      <c r="D71" t="s">
        <v>208</v>
      </c>
      <c r="E71">
        <v>250</v>
      </c>
      <c r="F71" t="s">
        <v>208</v>
      </c>
      <c r="G71" t="s">
        <v>533</v>
      </c>
    </row>
    <row r="73">
      <c r="C73" t="s">
        <v>1374</v>
      </c>
      <c r="E73">
        <v>900</v>
      </c>
      <c r="F73" t="s">
        <v>443</v>
      </c>
    </row>
    <row r="74">
      <c r="C74" t="s">
        <v>1375</v>
      </c>
      <c r="D74" s="1">
        <v>3.2</v>
      </c>
      <c r="E74" t="s">
        <v>69</v>
      </c>
      <c r="F74">
        <v>0.5</v>
      </c>
      <c r="G74" t="s">
        <v>70</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1376</v>
      </c>
    </row>
    <row r="2">
      <c r="A2" t="s">
        <v>403</v>
      </c>
    </row>
    <row r="3">
      <c r="B3" t="s">
        <v>358</v>
      </c>
    </row>
    <row r="4">
      <c r="B4" s="1" t="s">
        <v>1064</v>
      </c>
      <c r="C4" s="1" t="s">
        <v>31</v>
      </c>
      <c r="D4" s="1">
        <v>606.677</v>
      </c>
      <c r="E4" s="1" t="s">
        <v>182</v>
      </c>
    </row>
    <row r="5">
      <c r="B5" s="1" t="s">
        <v>1377</v>
      </c>
    </row>
    <row r="6">
      <c r="B6" s="1" t="s">
        <v>324</v>
      </c>
      <c r="C6" s="1" t="e">
        <v>#REF!</v>
      </c>
      <c r="D6" s="1" t="s">
        <v>325</v>
      </c>
      <c r="E6" s="1">
        <v>1311.6490000000001</v>
      </c>
      <c r="F6" s="1" t="s">
        <v>301</v>
      </c>
    </row>
    <row r="7" ht="25.5" customHeight="1">
      <c r="B7" s="1" t="s">
        <v>1378</v>
      </c>
      <c r="C7" s="1" t="s">
        <v>31</v>
      </c>
      <c r="D7" s="1">
        <v>423.33568130580323</v>
      </c>
      <c r="E7" s="1" t="s">
        <v>126</v>
      </c>
      <c r="F7" s="1">
        <v>244.25331736526948</v>
      </c>
      <c r="G7" s="1" t="s">
        <v>31</v>
      </c>
      <c r="H7" s="1">
        <v>667.5889986710727</v>
      </c>
      <c r="I7" s="1" t="s">
        <v>301</v>
      </c>
    </row>
    <row r="8" ht="25.5" customHeight="1">
      <c r="B8" s="1" t="s">
        <v>1379</v>
      </c>
      <c r="C8" s="1" t="s">
        <v>31</v>
      </c>
      <c r="D8" s="1">
        <v>423.33568130580323</v>
      </c>
      <c r="E8" s="1" t="s">
        <v>126</v>
      </c>
      <c r="F8" s="1">
        <v>1123.9405976047906</v>
      </c>
      <c r="G8" s="1" t="s">
        <v>31</v>
      </c>
      <c r="H8" s="1">
        <v>1547.2762789105939</v>
      </c>
      <c r="I8" s="1" t="s">
        <v>301</v>
      </c>
    </row>
    <row r="9">
      <c r="F9" s="1" t="s">
        <v>1380</v>
      </c>
    </row>
    <row r="10"/>
    <row r="11">
      <c r="B11" s="1" t="s">
        <v>1381</v>
      </c>
      <c r="C11" s="1" t="s">
        <v>31</v>
      </c>
      <c r="D11" s="1">
        <v>1547.2762789105939</v>
      </c>
      <c r="G11" s="1" t="s">
        <v>31</v>
      </c>
      <c r="H11" s="1">
        <v>1547.2762789105939</v>
      </c>
      <c r="I11" s="1" t="s">
        <v>301</v>
      </c>
    </row>
    <row r="12">
      <c r="B12" s="1" t="s">
        <v>1382</v>
      </c>
      <c r="C12" s="1" t="s">
        <v>31</v>
      </c>
      <c r="D12" s="1">
        <v>1311.6490000000001</v>
      </c>
      <c r="E12" s="1" t="s">
        <v>126</v>
      </c>
      <c r="F12" s="1">
        <v>667.5889986710727</v>
      </c>
      <c r="G12" s="1" t="s">
        <v>31</v>
      </c>
      <c r="H12" s="1">
        <v>1979.2379986710728</v>
      </c>
      <c r="I12" s="1" t="s">
        <v>301</v>
      </c>
    </row>
    <row r="13">
      <c r="B13" t="s">
        <v>404</v>
      </c>
      <c r="D13" t="s">
        <v>405</v>
      </c>
    </row>
    <row r="14">
      <c r="B14" t="s">
        <v>406</v>
      </c>
      <c r="F14">
        <v>415</v>
      </c>
      <c r="G14" t="s">
        <v>210</v>
      </c>
    </row>
    <row r="15">
      <c r="B15" t="s">
        <v>407</v>
      </c>
    </row>
    <row r="16">
      <c r="B16" t="s">
        <v>408</v>
      </c>
      <c r="D16">
        <v>190</v>
      </c>
    </row>
    <row r="17">
      <c r="B17" t="s">
        <v>409</v>
      </c>
    </row>
    <row r="18" ht="25.5" customHeight="1">
      <c r="B18" t="s">
        <v>410</v>
      </c>
      <c r="D18" t="s">
        <v>411</v>
      </c>
      <c r="E18" s="1" t="s">
        <v>31</v>
      </c>
      <c r="F18">
        <v>30</v>
      </c>
      <c r="G18" t="s">
        <v>210</v>
      </c>
    </row>
    <row r="19" ht="25.5" customHeight="1">
      <c r="B19" t="s">
        <v>412</v>
      </c>
      <c r="D19" t="s">
        <v>413</v>
      </c>
      <c r="E19" s="1" t="s">
        <v>31</v>
      </c>
      <c r="F19">
        <v>8</v>
      </c>
      <c r="G19" t="s">
        <v>210</v>
      </c>
    </row>
    <row r="20" ht="25.5" customHeight="1">
      <c r="B20" t="s">
        <v>414</v>
      </c>
      <c r="D20" t="s">
        <v>415</v>
      </c>
      <c r="E20" s="1" t="s">
        <v>31</v>
      </c>
      <c r="F20">
        <v>8</v>
      </c>
      <c r="G20" t="s">
        <v>210</v>
      </c>
    </row>
    <row r="21">
      <c r="D21" t="s">
        <v>416</v>
      </c>
      <c r="E21" s="1" t="s">
        <v>31</v>
      </c>
      <c r="F21">
        <v>3.6</v>
      </c>
      <c r="G21" t="s">
        <v>210</v>
      </c>
    </row>
    <row r="22" ht="15.75" customHeight="1">
      <c r="B22" t="s">
        <v>417</v>
      </c>
      <c r="C22" t="s">
        <v>31</v>
      </c>
      <c r="D22">
        <v>1.5</v>
      </c>
      <c r="E22" s="1" t="s">
        <v>418</v>
      </c>
      <c r="F22" s="1">
        <v>606.677</v>
      </c>
      <c r="G22" t="s">
        <v>31</v>
      </c>
      <c r="H22">
        <v>910.0155</v>
      </c>
      <c r="I22" t="s">
        <v>182</v>
      </c>
    </row>
    <row r="23" ht="15.75" customHeight="1">
      <c r="B23" t="s">
        <v>419</v>
      </c>
      <c r="C23" t="s">
        <v>31</v>
      </c>
      <c r="D23">
        <v>1.5</v>
      </c>
      <c r="E23" s="1" t="s">
        <v>418</v>
      </c>
      <c r="F23" s="1">
        <v>1979.2379986710728</v>
      </c>
      <c r="G23" t="s">
        <v>31</v>
      </c>
      <c r="H23">
        <v>2968.856998006609</v>
      </c>
      <c r="I23" t="s">
        <v>301</v>
      </c>
    </row>
    <row r="24" ht="15.75" customHeight="1">
      <c r="B24" t="s">
        <v>420</v>
      </c>
      <c r="C24" t="s">
        <v>31</v>
      </c>
      <c r="D24">
        <v>1.5</v>
      </c>
      <c r="E24" s="1" t="s">
        <v>418</v>
      </c>
      <c r="F24" s="1">
        <v>1547.2762789105939</v>
      </c>
      <c r="G24" t="s">
        <v>31</v>
      </c>
      <c r="H24">
        <v>2320.914418365891</v>
      </c>
      <c r="I24" t="s">
        <v>301</v>
      </c>
    </row>
    <row r="25">
      <c r="B25" t="s">
        <v>421</v>
      </c>
      <c r="F25">
        <v>33.33</v>
      </c>
      <c r="G25" t="s">
        <v>249</v>
      </c>
    </row>
    <row r="26">
      <c r="B26" t="s">
        <v>422</v>
      </c>
    </row>
    <row r="27">
      <c r="C27" s="4">
        <v>1000</v>
      </c>
      <c r="D27" t="s">
        <v>423</v>
      </c>
      <c r="E27">
        <v>1050</v>
      </c>
      <c r="F27" t="s">
        <v>208</v>
      </c>
    </row>
    <row r="28">
      <c r="C28" t="s">
        <v>424</v>
      </c>
      <c r="D28">
        <v>75</v>
      </c>
    </row>
    <row r="29" ht="14.25" customHeight="1">
      <c r="B29" t="s">
        <v>425</v>
      </c>
      <c r="C29" t="s">
        <v>31</v>
      </c>
      <c r="D29">
        <v>83</v>
      </c>
      <c r="E29" t="s">
        <v>85</v>
      </c>
      <c r="F29">
        <v>1050</v>
      </c>
      <c r="G29" t="s">
        <v>31</v>
      </c>
      <c r="H29" s="8">
        <v>0.07904761904761905</v>
      </c>
    </row>
    <row r="30" ht="15.75" customHeight="1">
      <c r="B30" t="s">
        <v>426</v>
      </c>
      <c r="C30" t="s">
        <v>31</v>
      </c>
      <c r="D30" s="1">
        <v>910.0155</v>
      </c>
      <c r="E30" t="s">
        <v>69</v>
      </c>
      <c r="F30">
        <v>1000</v>
      </c>
      <c r="G30" t="s">
        <v>427</v>
      </c>
      <c r="H30">
        <v>30</v>
      </c>
      <c r="I30" t="s">
        <v>69</v>
      </c>
      <c r="J30">
        <v>1000</v>
      </c>
      <c r="K30" t="s">
        <v>177</v>
      </c>
      <c r="L30">
        <v>1050</v>
      </c>
      <c r="M30" t="s">
        <v>83</v>
      </c>
    </row>
    <row r="31">
      <c r="C31" t="s">
        <v>31</v>
      </c>
      <c r="D31" s="8">
        <v>0.02888938095238095</v>
      </c>
    </row>
    <row r="32">
      <c r="B32" t="s">
        <v>428</v>
      </c>
    </row>
    <row r="33" ht="15.75" customHeight="1">
      <c r="B33" t="s">
        <v>429</v>
      </c>
      <c r="C33" t="s">
        <v>31</v>
      </c>
      <c r="D33" s="1">
        <v>2968.856998006609</v>
      </c>
      <c r="E33" t="s">
        <v>69</v>
      </c>
      <c r="F33">
        <v>1000000</v>
      </c>
      <c r="G33" t="s">
        <v>427</v>
      </c>
      <c r="H33">
        <v>30</v>
      </c>
      <c r="I33" t="s">
        <v>69</v>
      </c>
      <c r="J33">
        <v>1000</v>
      </c>
      <c r="K33" t="s">
        <v>177</v>
      </c>
      <c r="L33">
        <v>1050</v>
      </c>
      <c r="M33" t="s">
        <v>430</v>
      </c>
    </row>
    <row r="34">
      <c r="C34" t="s">
        <v>31</v>
      </c>
      <c r="D34" s="8">
        <v>0.08976136048394888</v>
      </c>
    </row>
    <row r="35" ht="31.5" customHeight="1">
      <c r="B35" t="s">
        <v>431</v>
      </c>
    </row>
    <row r="36" ht="12.75" customHeight="1">
      <c r="B36" t="s">
        <v>432</v>
      </c>
    </row>
    <row r="37">
      <c r="B37" t="s">
        <v>433</v>
      </c>
    </row>
    <row r="39">
      <c r="B39" t="s">
        <v>434</v>
      </c>
      <c r="D39" s="1">
        <v>910.0155</v>
      </c>
      <c r="E39" s="1" t="s">
        <v>69</v>
      </c>
      <c r="F39" s="4">
        <v>1000</v>
      </c>
      <c r="G39" t="s">
        <v>85</v>
      </c>
      <c r="H39">
        <v>8</v>
      </c>
    </row>
    <row r="40" ht="14.25" customHeight="1">
      <c r="C40" t="s">
        <v>31</v>
      </c>
      <c r="D40" s="4">
        <v>113751.9375</v>
      </c>
      <c r="E40" t="s">
        <v>435</v>
      </c>
    </row>
    <row r="41">
      <c r="B41" t="s">
        <v>436</v>
      </c>
      <c r="C41">
        <v>0.8</v>
      </c>
      <c r="D41" t="s">
        <v>69</v>
      </c>
      <c r="E41" s="4">
        <v>113751.9375</v>
      </c>
      <c r="F41" t="s">
        <v>85</v>
      </c>
      <c r="G41">
        <v>100</v>
      </c>
    </row>
    <row r="42" ht="14.25" customHeight="1">
      <c r="C42" t="s">
        <v>31</v>
      </c>
      <c r="D42" s="4">
        <v>910.0155</v>
      </c>
      <c r="E42" t="s">
        <v>435</v>
      </c>
    </row>
    <row r="44">
      <c r="B44" t="s">
        <v>437</v>
      </c>
    </row>
    <row r="45">
      <c r="B45" t="s">
        <v>438</v>
      </c>
      <c r="C45">
        <v>0.3</v>
      </c>
      <c r="D45" t="s">
        <v>69</v>
      </c>
      <c r="E45">
        <v>1000</v>
      </c>
      <c r="F45" t="s">
        <v>177</v>
      </c>
      <c r="G45">
        <v>1050</v>
      </c>
      <c r="H45" t="s">
        <v>85</v>
      </c>
      <c r="I45">
        <v>100</v>
      </c>
    </row>
    <row r="46" ht="14.25" customHeight="1">
      <c r="C46" t="s">
        <v>31</v>
      </c>
      <c r="D46" s="4">
        <v>3150</v>
      </c>
      <c r="E46" t="s">
        <v>435</v>
      </c>
    </row>
    <row r="47" ht="14.25" customHeight="1">
      <c r="B47" t="s">
        <v>439</v>
      </c>
      <c r="C47" t="s">
        <v>31</v>
      </c>
      <c r="D47" s="4">
        <v>3150</v>
      </c>
      <c r="E47" t="s">
        <v>435</v>
      </c>
    </row>
    <row r="48">
      <c r="B48" t="s">
        <v>440</v>
      </c>
      <c r="C48">
        <v>16</v>
      </c>
      <c r="D48" t="s">
        <v>441</v>
      </c>
      <c r="E48" t="s">
        <v>31</v>
      </c>
      <c r="F48" s="4">
        <v>15.674761146496815</v>
      </c>
      <c r="G48" t="s">
        <v>216</v>
      </c>
    </row>
    <row r="49">
      <c r="B49" t="s">
        <v>442</v>
      </c>
      <c r="C49" t="s">
        <v>31</v>
      </c>
      <c r="D49" s="4">
        <v>260</v>
      </c>
      <c r="E49" t="s">
        <v>443</v>
      </c>
    </row>
    <row r="50">
      <c r="B50" t="s">
        <v>444</v>
      </c>
    </row>
    <row r="52" ht="15.75" customHeight="1">
      <c r="B52" t="s">
        <v>429</v>
      </c>
      <c r="C52" t="s">
        <v>31</v>
      </c>
      <c r="D52" s="1">
        <v>2320.914418365891</v>
      </c>
      <c r="E52" t="s">
        <v>69</v>
      </c>
      <c r="F52">
        <v>1000000</v>
      </c>
      <c r="G52" t="s">
        <v>427</v>
      </c>
      <c r="H52">
        <v>30</v>
      </c>
      <c r="I52" t="s">
        <v>69</v>
      </c>
    </row>
    <row r="53" ht="14.25" customHeight="1">
      <c r="E53">
        <v>1000</v>
      </c>
      <c r="F53" t="s">
        <v>177</v>
      </c>
      <c r="G53">
        <v>1050</v>
      </c>
      <c r="H53" t="s">
        <v>430</v>
      </c>
    </row>
    <row r="54">
      <c r="C54" t="s">
        <v>31</v>
      </c>
      <c r="D54" s="8">
        <v>0.07017125981453941</v>
      </c>
    </row>
    <row r="55" ht="29.25" customHeight="1">
      <c r="B55" t="s">
        <v>431</v>
      </c>
    </row>
    <row r="56">
      <c r="B56" t="s">
        <v>445</v>
      </c>
    </row>
    <row r="57">
      <c r="B57" t="s">
        <v>446</v>
      </c>
    </row>
    <row r="58">
      <c r="C58" s="1">
        <v>2320.914418365891</v>
      </c>
      <c r="D58" s="4" t="s">
        <v>85</v>
      </c>
      <c r="E58" s="1">
        <v>4.498000000000005</v>
      </c>
      <c r="F58" s="2" t="s">
        <v>31</v>
      </c>
      <c r="G58" s="1">
        <v>515.9880876758311</v>
      </c>
      <c r="H58" t="s">
        <v>182</v>
      </c>
    </row>
    <row r="59">
      <c r="A59" t="s">
        <v>447</v>
      </c>
    </row>
    <row r="60">
      <c r="B60" t="s">
        <v>448</v>
      </c>
      <c r="C60" s="1">
        <v>515.9880876758311</v>
      </c>
      <c r="D60" s="1" t="s">
        <v>69</v>
      </c>
      <c r="E60">
        <v>1000</v>
      </c>
      <c r="F60" s="1" t="s">
        <v>427</v>
      </c>
      <c r="G60">
        <v>1000</v>
      </c>
      <c r="H60" s="1" t="s">
        <v>69</v>
      </c>
      <c r="I60">
        <v>1050</v>
      </c>
      <c r="J60" t="s">
        <v>83</v>
      </c>
    </row>
    <row r="61" ht="14.25" customHeight="1">
      <c r="C61" t="s">
        <v>31</v>
      </c>
      <c r="D61" s="1">
        <v>0.49141722635793444</v>
      </c>
      <c r="E61" t="s">
        <v>210</v>
      </c>
    </row>
    <row r="62">
      <c r="B62" t="s">
        <v>449</v>
      </c>
      <c r="C62" s="1">
        <v>0.3</v>
      </c>
    </row>
    <row r="63" ht="14.25" customHeight="1">
      <c r="B63" t="s">
        <v>450</v>
      </c>
      <c r="C63" s="1">
        <v>0.4</v>
      </c>
      <c r="D63" t="s">
        <v>210</v>
      </c>
      <c r="E63" t="s">
        <v>451</v>
      </c>
    </row>
    <row r="64">
      <c r="B64" t="s">
        <v>452</v>
      </c>
    </row>
    <row r="65">
      <c r="B65" t="s">
        <v>453</v>
      </c>
    </row>
    <row r="66" ht="14.25" customHeight="1">
      <c r="B66" t="s">
        <v>454</v>
      </c>
      <c r="C66" t="s">
        <v>31</v>
      </c>
      <c r="D66" s="4">
        <v>16</v>
      </c>
      <c r="E66" t="s">
        <v>85</v>
      </c>
      <c r="F66">
        <v>4</v>
      </c>
      <c r="G66" t="s">
        <v>31</v>
      </c>
      <c r="H66">
        <v>4</v>
      </c>
      <c r="I66" t="s">
        <v>208</v>
      </c>
    </row>
    <row r="67">
      <c r="B67" t="s">
        <v>455</v>
      </c>
      <c r="C67">
        <v>12</v>
      </c>
      <c r="D67" s="8" t="s">
        <v>456</v>
      </c>
    </row>
    <row r="68">
      <c r="B68" t="s">
        <v>457</v>
      </c>
    </row>
    <row r="69">
      <c r="B69" t="s">
        <v>458</v>
      </c>
      <c r="C69">
        <v>1050</v>
      </c>
      <c r="D69" t="s">
        <v>208</v>
      </c>
    </row>
    <row r="70">
      <c r="B70" t="s">
        <v>459</v>
      </c>
      <c r="C70">
        <v>12</v>
      </c>
      <c r="D70" s="1" t="s">
        <v>69</v>
      </c>
      <c r="E70" s="4">
        <v>12</v>
      </c>
      <c r="F70" s="1" t="s">
        <v>31</v>
      </c>
      <c r="G70" s="4">
        <v>144</v>
      </c>
      <c r="H70" s="4" t="s">
        <v>208</v>
      </c>
    </row>
    <row r="71">
      <c r="B71" t="s">
        <v>460</v>
      </c>
      <c r="C71">
        <v>300</v>
      </c>
      <c r="D71" s="8" t="s">
        <v>208</v>
      </c>
    </row>
    <row r="72">
      <c r="B72" t="s">
        <v>461</v>
      </c>
      <c r="C72" t="s">
        <v>462</v>
      </c>
      <c r="D72" s="4">
        <v>100</v>
      </c>
      <c r="E72" s="1" t="s">
        <v>208</v>
      </c>
    </row>
    <row r="73" ht="14.25" customHeight="1">
      <c r="B73" t="s">
        <v>455</v>
      </c>
      <c r="C73">
        <v>12</v>
      </c>
      <c r="D73" s="8" t="s">
        <v>463</v>
      </c>
      <c r="F73" s="4">
        <v>100</v>
      </c>
      <c r="G73" t="s">
        <v>464</v>
      </c>
    </row>
    <row r="74">
      <c r="B74" s="4" t="s">
        <v>465</v>
      </c>
    </row>
    <row r="75">
      <c r="B75" s="4" t="s">
        <v>466</v>
      </c>
    </row>
    <row r="76">
      <c r="B76" s="4" t="s">
        <v>467</v>
      </c>
      <c r="D76" s="4" t="s">
        <v>468</v>
      </c>
    </row>
    <row r="77">
      <c r="C77" s="1" t="s">
        <v>469</v>
      </c>
    </row>
    <row r="78">
      <c r="B78" s="1" t="s">
        <v>42</v>
      </c>
      <c r="C78" s="1" t="s">
        <v>31</v>
      </c>
      <c r="D78" s="1">
        <v>100</v>
      </c>
      <c r="E78" s="1" t="s">
        <v>208</v>
      </c>
    </row>
    <row r="79" ht="14.25" customHeight="1">
      <c r="B79" s="1" t="s">
        <v>94</v>
      </c>
      <c r="C79" s="1" t="s">
        <v>31</v>
      </c>
      <c r="D79" s="1">
        <v>300</v>
      </c>
      <c r="E79" s="1" t="s">
        <v>210</v>
      </c>
      <c r="F79" s="1" t="s">
        <v>470</v>
      </c>
    </row>
    <row r="80" ht="14.25" customHeight="1">
      <c r="B80" s="1" t="s">
        <v>471</v>
      </c>
      <c r="C80" s="1" t="s">
        <v>31</v>
      </c>
      <c r="D80" s="1">
        <v>30</v>
      </c>
      <c r="E80" s="1" t="s">
        <v>210</v>
      </c>
      <c r="H80" s="4" t="s">
        <v>472</v>
      </c>
    </row>
    <row r="81" ht="14.25" customHeight="1">
      <c r="B81" s="1" t="s">
        <v>473</v>
      </c>
      <c r="C81" s="1" t="s">
        <v>31</v>
      </c>
      <c r="D81" s="1">
        <v>415</v>
      </c>
      <c r="E81" s="1" t="s">
        <v>210</v>
      </c>
    </row>
    <row r="82" ht="14.25" customHeight="1">
      <c r="B82" s="1" t="s">
        <v>474</v>
      </c>
      <c r="C82" s="1" t="s">
        <v>31</v>
      </c>
      <c r="D82" s="1">
        <v>1050</v>
      </c>
      <c r="E82" s="1" t="s">
        <v>435</v>
      </c>
      <c r="F82" s="1" t="s">
        <v>475</v>
      </c>
    </row>
    <row r="83" ht="14.25" customHeight="1">
      <c r="B83" s="1" t="s">
        <v>476</v>
      </c>
      <c r="C83" s="1" t="s">
        <v>31</v>
      </c>
      <c r="D83" s="1">
        <v>940</v>
      </c>
      <c r="E83" s="1" t="s">
        <v>435</v>
      </c>
      <c r="F83" s="1" t="s">
        <v>477</v>
      </c>
    </row>
    <row r="84" ht="14.25" customHeight="1">
      <c r="B84" s="1" t="s">
        <v>478</v>
      </c>
      <c r="C84" s="1" t="s">
        <v>31</v>
      </c>
      <c r="D84" s="1">
        <v>45.6805947193027</v>
      </c>
      <c r="E84" s="1" t="s">
        <v>435</v>
      </c>
    </row>
    <row r="85" ht="14.25" customHeight="1">
      <c r="B85" s="1" t="s">
        <v>479</v>
      </c>
      <c r="C85" s="1" t="s">
        <v>31</v>
      </c>
      <c r="D85" s="1">
        <v>113.04</v>
      </c>
      <c r="E85" s="1" t="s">
        <v>435</v>
      </c>
      <c r="F85" s="1" t="s">
        <v>480</v>
      </c>
    </row>
    <row r="86">
      <c r="B86" t="s">
        <v>461</v>
      </c>
      <c r="C86" t="s">
        <v>462</v>
      </c>
      <c r="D86" s="4">
        <v>100</v>
      </c>
      <c r="E86" s="1" t="s">
        <v>208</v>
      </c>
    </row>
    <row r="87" ht="14.25" customHeight="1">
      <c r="B87" t="s">
        <v>455</v>
      </c>
      <c r="C87">
        <v>12</v>
      </c>
      <c r="D87" s="8" t="s">
        <v>463</v>
      </c>
      <c r="F87" s="4">
        <v>100</v>
      </c>
      <c r="G87" t="s">
        <v>464</v>
      </c>
    </row>
    <row r="88">
      <c r="B88" s="4" t="s">
        <v>465</v>
      </c>
    </row>
    <row r="89">
      <c r="B89" s="4" t="s">
        <v>481</v>
      </c>
    </row>
    <row r="90">
      <c r="B90" t="s">
        <v>482</v>
      </c>
    </row>
    <row r="91">
      <c r="B91" t="s">
        <v>483</v>
      </c>
      <c r="C91" s="4">
        <v>16</v>
      </c>
      <c r="D91" s="4" t="s">
        <v>441</v>
      </c>
      <c r="E91" s="4">
        <v>260</v>
      </c>
      <c r="F91" s="4" t="s">
        <v>443</v>
      </c>
      <c r="H91" t="s">
        <v>484</v>
      </c>
    </row>
    <row r="92">
      <c r="B92" t="s">
        <v>445</v>
      </c>
      <c r="C92" t="s">
        <v>485</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1383</v>
      </c>
    </row>
    <row r="2">
      <c r="B2" t="s">
        <v>1384</v>
      </c>
      <c r="C2" s="4">
        <v>1000</v>
      </c>
      <c r="D2" t="s">
        <v>443</v>
      </c>
    </row>
    <row r="3">
      <c r="A3" t="s">
        <v>403</v>
      </c>
    </row>
    <row r="4">
      <c r="B4" t="s">
        <v>358</v>
      </c>
    </row>
    <row r="5">
      <c r="B5" s="1" t="s">
        <v>1064</v>
      </c>
      <c r="C5" s="1" t="s">
        <v>31</v>
      </c>
      <c r="D5" s="1">
        <v>606.677</v>
      </c>
      <c r="E5" s="1" t="s">
        <v>182</v>
      </c>
    </row>
    <row r="6">
      <c r="B6" s="1" t="s">
        <v>1377</v>
      </c>
    </row>
    <row r="7">
      <c r="B7" s="1" t="s">
        <v>1385</v>
      </c>
      <c r="E7" s="1">
        <v>1311.6490000000001</v>
      </c>
      <c r="F7" s="1" t="s">
        <v>301</v>
      </c>
    </row>
    <row r="8">
      <c r="F8" s="1" t="s">
        <v>1380</v>
      </c>
    </row>
    <row r="9"/>
    <row r="10">
      <c r="B10" s="1" t="s">
        <v>1382</v>
      </c>
      <c r="C10" s="1" t="s">
        <v>31</v>
      </c>
      <c r="D10" s="1">
        <v>1311.6490000000001</v>
      </c>
      <c r="E10" s="1" t="s">
        <v>126</v>
      </c>
      <c r="F10" s="1">
        <v>0</v>
      </c>
      <c r="G10" s="1" t="s">
        <v>31</v>
      </c>
      <c r="H10" s="1">
        <v>1311.6490000000001</v>
      </c>
      <c r="I10" s="1" t="s">
        <v>301</v>
      </c>
    </row>
    <row r="11">
      <c r="B11" t="s">
        <v>404</v>
      </c>
      <c r="D11" t="s">
        <v>405</v>
      </c>
    </row>
    <row r="12">
      <c r="B12" t="s">
        <v>406</v>
      </c>
      <c r="F12">
        <v>415</v>
      </c>
      <c r="G12" t="s">
        <v>210</v>
      </c>
    </row>
    <row r="13">
      <c r="B13" t="s">
        <v>407</v>
      </c>
    </row>
    <row r="14">
      <c r="B14" t="s">
        <v>408</v>
      </c>
      <c r="D14">
        <v>190</v>
      </c>
    </row>
    <row r="15">
      <c r="B15" t="s">
        <v>409</v>
      </c>
    </row>
    <row r="16" ht="25.5" customHeight="1">
      <c r="B16" t="s">
        <v>410</v>
      </c>
      <c r="D16" t="s">
        <v>411</v>
      </c>
      <c r="E16" s="1" t="s">
        <v>31</v>
      </c>
      <c r="F16">
        <v>30</v>
      </c>
      <c r="G16" t="s">
        <v>210</v>
      </c>
    </row>
    <row r="17" ht="25.5" customHeight="1">
      <c r="B17" t="s">
        <v>412</v>
      </c>
      <c r="D17" t="s">
        <v>413</v>
      </c>
      <c r="E17" s="1" t="s">
        <v>31</v>
      </c>
      <c r="F17">
        <v>8</v>
      </c>
      <c r="G17" t="s">
        <v>210</v>
      </c>
    </row>
    <row r="18" ht="25.5" customHeight="1">
      <c r="B18" t="s">
        <v>414</v>
      </c>
      <c r="D18" t="s">
        <v>415</v>
      </c>
      <c r="E18" s="1" t="s">
        <v>31</v>
      </c>
      <c r="F18">
        <v>8</v>
      </c>
      <c r="G18" t="s">
        <v>210</v>
      </c>
    </row>
    <row r="19">
      <c r="D19" t="s">
        <v>416</v>
      </c>
      <c r="E19" s="1" t="s">
        <v>31</v>
      </c>
      <c r="F19">
        <v>3.6</v>
      </c>
      <c r="G19" t="s">
        <v>210</v>
      </c>
    </row>
    <row r="20" ht="15.75" customHeight="1">
      <c r="B20" t="s">
        <v>417</v>
      </c>
      <c r="C20" t="s">
        <v>31</v>
      </c>
      <c r="D20">
        <v>1.5</v>
      </c>
      <c r="E20" s="1" t="s">
        <v>418</v>
      </c>
      <c r="F20" s="1">
        <v>606.677</v>
      </c>
      <c r="G20" t="s">
        <v>31</v>
      </c>
      <c r="H20">
        <v>910.0155</v>
      </c>
      <c r="I20" t="s">
        <v>182</v>
      </c>
    </row>
    <row r="21" ht="15.75" customHeight="1">
      <c r="B21" t="s">
        <v>419</v>
      </c>
      <c r="C21" t="s">
        <v>31</v>
      </c>
      <c r="D21">
        <v>1.5</v>
      </c>
      <c r="E21" s="1" t="s">
        <v>418</v>
      </c>
      <c r="F21" s="1">
        <v>1311.6490000000001</v>
      </c>
      <c r="G21" t="s">
        <v>31</v>
      </c>
      <c r="H21">
        <v>1967.4735</v>
      </c>
      <c r="I21" t="s">
        <v>301</v>
      </c>
    </row>
    <row r="22">
      <c r="B22" t="s">
        <v>421</v>
      </c>
      <c r="F22">
        <v>33.33</v>
      </c>
      <c r="G22" t="s">
        <v>249</v>
      </c>
    </row>
    <row r="23">
      <c r="B23" t="s">
        <v>422</v>
      </c>
    </row>
    <row r="24">
      <c r="C24" s="4">
        <v>1000</v>
      </c>
      <c r="D24" t="s">
        <v>423</v>
      </c>
      <c r="E24" s="4">
        <v>1000</v>
      </c>
      <c r="F24" t="s">
        <v>208</v>
      </c>
    </row>
    <row r="25">
      <c r="C25" t="s">
        <v>424</v>
      </c>
      <c r="D25">
        <v>75</v>
      </c>
    </row>
    <row r="26" ht="14.25" customHeight="1">
      <c r="B26" t="s">
        <v>425</v>
      </c>
      <c r="C26" t="s">
        <v>31</v>
      </c>
      <c r="D26">
        <v>81</v>
      </c>
      <c r="E26" t="s">
        <v>85</v>
      </c>
      <c r="F26">
        <v>1000</v>
      </c>
      <c r="G26" t="s">
        <v>31</v>
      </c>
      <c r="H26" s="8">
        <v>0.081</v>
      </c>
    </row>
    <row r="27" ht="15.75" customHeight="1">
      <c r="B27" t="s">
        <v>426</v>
      </c>
      <c r="C27" t="s">
        <v>31</v>
      </c>
      <c r="D27" s="1">
        <v>910.0155</v>
      </c>
      <c r="E27" t="s">
        <v>69</v>
      </c>
      <c r="F27">
        <v>1000</v>
      </c>
      <c r="G27" t="s">
        <v>427</v>
      </c>
      <c r="H27">
        <v>30</v>
      </c>
      <c r="I27" t="s">
        <v>69</v>
      </c>
      <c r="J27">
        <v>1000</v>
      </c>
      <c r="K27" t="s">
        <v>177</v>
      </c>
      <c r="L27">
        <v>1000</v>
      </c>
      <c r="M27" t="s">
        <v>83</v>
      </c>
    </row>
    <row r="28">
      <c r="C28" t="s">
        <v>31</v>
      </c>
      <c r="D28" s="8">
        <v>0.03033385</v>
      </c>
    </row>
    <row r="29">
      <c r="B29" t="s">
        <v>428</v>
      </c>
    </row>
    <row r="30" ht="15.75" customHeight="1">
      <c r="B30" t="s">
        <v>429</v>
      </c>
      <c r="C30" t="s">
        <v>31</v>
      </c>
      <c r="D30" s="1">
        <v>1967.4735</v>
      </c>
      <c r="E30" t="s">
        <v>69</v>
      </c>
      <c r="F30">
        <v>1000000</v>
      </c>
      <c r="G30" t="s">
        <v>427</v>
      </c>
      <c r="H30">
        <v>30</v>
      </c>
      <c r="I30" t="s">
        <v>69</v>
      </c>
      <c r="J30">
        <v>1000</v>
      </c>
      <c r="K30" t="s">
        <v>177</v>
      </c>
      <c r="L30">
        <v>1000</v>
      </c>
      <c r="M30" t="s">
        <v>430</v>
      </c>
    </row>
    <row r="31">
      <c r="C31" t="s">
        <v>31</v>
      </c>
      <c r="D31" s="8">
        <v>0.06558245</v>
      </c>
    </row>
    <row r="32" ht="31.5" customHeight="1">
      <c r="B32" t="s">
        <v>431</v>
      </c>
    </row>
    <row r="33" ht="12.75" customHeight="1">
      <c r="B33" t="s">
        <v>432</v>
      </c>
    </row>
    <row r="34">
      <c r="B34" t="s">
        <v>433</v>
      </c>
    </row>
    <row r="36">
      <c r="B36" t="s">
        <v>434</v>
      </c>
      <c r="D36" s="1">
        <v>910.0155</v>
      </c>
      <c r="E36" s="1" t="s">
        <v>69</v>
      </c>
      <c r="F36" s="4">
        <v>1000</v>
      </c>
      <c r="G36" t="s">
        <v>85</v>
      </c>
      <c r="H36">
        <v>8</v>
      </c>
    </row>
    <row r="37" ht="14.25" customHeight="1">
      <c r="C37" t="s">
        <v>31</v>
      </c>
      <c r="D37" s="4">
        <v>113751.9375</v>
      </c>
      <c r="E37" t="s">
        <v>435</v>
      </c>
    </row>
    <row r="38">
      <c r="B38" t="s">
        <v>436</v>
      </c>
      <c r="C38">
        <v>0.8</v>
      </c>
      <c r="D38" t="s">
        <v>69</v>
      </c>
      <c r="E38" s="4">
        <v>113751.9375</v>
      </c>
      <c r="F38" t="s">
        <v>85</v>
      </c>
      <c r="G38">
        <v>100</v>
      </c>
    </row>
    <row r="39" ht="14.25" customHeight="1">
      <c r="C39" t="s">
        <v>31</v>
      </c>
      <c r="D39" s="4">
        <v>910.0155</v>
      </c>
      <c r="E39" t="s">
        <v>435</v>
      </c>
    </row>
    <row r="41">
      <c r="B41" t="s">
        <v>437</v>
      </c>
    </row>
    <row r="42">
      <c r="B42" t="s">
        <v>438</v>
      </c>
      <c r="C42">
        <v>0.3</v>
      </c>
      <c r="D42" t="s">
        <v>69</v>
      </c>
      <c r="E42">
        <v>1000</v>
      </c>
      <c r="F42" t="s">
        <v>177</v>
      </c>
      <c r="G42">
        <v>1000</v>
      </c>
      <c r="H42" t="s">
        <v>85</v>
      </c>
      <c r="I42">
        <v>100</v>
      </c>
    </row>
    <row r="43" ht="14.25" customHeight="1">
      <c r="C43" t="s">
        <v>31</v>
      </c>
      <c r="D43" s="4">
        <v>3000</v>
      </c>
      <c r="E43" t="s">
        <v>435</v>
      </c>
    </row>
    <row r="44" ht="14.25" customHeight="1">
      <c r="B44" t="s">
        <v>439</v>
      </c>
      <c r="C44" t="s">
        <v>31</v>
      </c>
      <c r="D44" s="4">
        <v>3000</v>
      </c>
      <c r="E44" t="s">
        <v>435</v>
      </c>
    </row>
    <row r="45">
      <c r="B45" t="s">
        <v>440</v>
      </c>
      <c r="C45">
        <v>12</v>
      </c>
      <c r="D45" t="s">
        <v>441</v>
      </c>
      <c r="E45" t="s">
        <v>31</v>
      </c>
      <c r="F45" s="4">
        <v>26.539278131634816</v>
      </c>
      <c r="G45" t="s">
        <v>216</v>
      </c>
    </row>
    <row r="46">
      <c r="B46" t="s">
        <v>442</v>
      </c>
      <c r="C46" t="s">
        <v>31</v>
      </c>
      <c r="D46" s="4">
        <v>150</v>
      </c>
      <c r="E46" t="s">
        <v>443</v>
      </c>
    </row>
    <row r="47">
      <c r="B47" t="s">
        <v>444</v>
      </c>
    </row>
    <row r="49" ht="15.75" customHeight="1">
      <c r="B49" t="s">
        <v>429</v>
      </c>
      <c r="C49" t="s">
        <v>31</v>
      </c>
      <c r="D49" s="1">
        <v>1967.4735</v>
      </c>
      <c r="E49" t="s">
        <v>69</v>
      </c>
      <c r="F49">
        <v>1000000</v>
      </c>
      <c r="G49" t="s">
        <v>427</v>
      </c>
      <c r="H49">
        <v>30</v>
      </c>
      <c r="I49" t="s">
        <v>69</v>
      </c>
    </row>
    <row r="50" ht="14.25" customHeight="1">
      <c r="E50">
        <v>1000</v>
      </c>
      <c r="F50" t="s">
        <v>177</v>
      </c>
      <c r="G50">
        <v>1000</v>
      </c>
      <c r="H50" t="s">
        <v>430</v>
      </c>
    </row>
    <row r="51">
      <c r="C51" t="s">
        <v>31</v>
      </c>
      <c r="D51" s="8">
        <v>0.06558245</v>
      </c>
    </row>
    <row r="52" ht="29.25" customHeight="1">
      <c r="B52" t="s">
        <v>431</v>
      </c>
    </row>
    <row r="53">
      <c r="B53" t="s">
        <v>445</v>
      </c>
    </row>
    <row r="54">
      <c r="B54" t="s">
        <v>446</v>
      </c>
    </row>
    <row r="55">
      <c r="C55" s="1">
        <v>1311.6490000000001</v>
      </c>
      <c r="D55" s="4" t="s">
        <v>85</v>
      </c>
      <c r="E55" s="1">
        <v>4.498000000000005</v>
      </c>
      <c r="F55" s="2" t="s">
        <v>31</v>
      </c>
      <c r="G55" s="1">
        <v>291.60715873721625</v>
      </c>
      <c r="H55" t="s">
        <v>182</v>
      </c>
    </row>
    <row r="56">
      <c r="A56" t="s">
        <v>447</v>
      </c>
    </row>
    <row r="57">
      <c r="B57" t="s">
        <v>448</v>
      </c>
      <c r="C57" s="1">
        <v>291.60715873721625</v>
      </c>
      <c r="D57" s="1" t="s">
        <v>69</v>
      </c>
      <c r="E57">
        <v>1000</v>
      </c>
      <c r="F57" s="1" t="s">
        <v>427</v>
      </c>
      <c r="G57">
        <v>1000</v>
      </c>
      <c r="H57" s="1" t="s">
        <v>69</v>
      </c>
      <c r="I57">
        <v>1000</v>
      </c>
      <c r="J57" t="s">
        <v>83</v>
      </c>
    </row>
    <row r="58" ht="14.25" customHeight="1">
      <c r="C58" t="s">
        <v>31</v>
      </c>
      <c r="D58" s="1">
        <v>0.29160715873721627</v>
      </c>
      <c r="E58" t="s">
        <v>210</v>
      </c>
    </row>
    <row r="59">
      <c r="B59" t="s">
        <v>449</v>
      </c>
      <c r="C59" s="1">
        <v>0.3</v>
      </c>
    </row>
    <row r="60" ht="14.25" customHeight="1">
      <c r="B60" t="s">
        <v>450</v>
      </c>
      <c r="C60" s="1">
        <v>0.4</v>
      </c>
      <c r="D60" t="s">
        <v>210</v>
      </c>
      <c r="E60" t="s">
        <v>451</v>
      </c>
    </row>
    <row r="61">
      <c r="B61" t="s">
        <v>452</v>
      </c>
    </row>
    <row r="62">
      <c r="B62" t="s">
        <v>453</v>
      </c>
    </row>
    <row r="63" ht="14.25" customHeight="1">
      <c r="B63" t="s">
        <v>454</v>
      </c>
      <c r="C63" t="s">
        <v>31</v>
      </c>
      <c r="D63" s="4">
        <v>12</v>
      </c>
      <c r="E63" t="s">
        <v>85</v>
      </c>
      <c r="F63">
        <v>4</v>
      </c>
      <c r="G63" t="s">
        <v>31</v>
      </c>
      <c r="H63">
        <v>3</v>
      </c>
      <c r="I63" t="s">
        <v>208</v>
      </c>
    </row>
    <row r="64">
      <c r="B64" t="s">
        <v>455</v>
      </c>
      <c r="C64">
        <v>12</v>
      </c>
      <c r="D64" s="8" t="s">
        <v>456</v>
      </c>
    </row>
    <row r="65">
      <c r="B65" t="s">
        <v>457</v>
      </c>
    </row>
    <row r="66">
      <c r="B66" t="s">
        <v>458</v>
      </c>
      <c r="C66">
        <v>1000</v>
      </c>
      <c r="D66" t="s">
        <v>208</v>
      </c>
    </row>
    <row r="67">
      <c r="B67" t="s">
        <v>459</v>
      </c>
      <c r="C67">
        <v>12</v>
      </c>
      <c r="D67" s="1" t="s">
        <v>69</v>
      </c>
      <c r="E67" s="4">
        <v>12</v>
      </c>
      <c r="F67" s="1" t="s">
        <v>31</v>
      </c>
      <c r="G67" s="4">
        <v>144</v>
      </c>
      <c r="H67" s="4" t="s">
        <v>208</v>
      </c>
    </row>
    <row r="68">
      <c r="B68" t="s">
        <v>460</v>
      </c>
      <c r="C68">
        <v>300</v>
      </c>
      <c r="D68" s="8" t="s">
        <v>208</v>
      </c>
    </row>
    <row r="69">
      <c r="B69" t="s">
        <v>461</v>
      </c>
      <c r="C69" t="s">
        <v>462</v>
      </c>
      <c r="D69" s="4">
        <v>100</v>
      </c>
      <c r="E69" s="1" t="s">
        <v>208</v>
      </c>
    </row>
    <row r="70" ht="14.25" customHeight="1">
      <c r="B70" t="s">
        <v>455</v>
      </c>
      <c r="C70">
        <v>12</v>
      </c>
      <c r="D70" s="8" t="s">
        <v>463</v>
      </c>
      <c r="F70" s="4">
        <v>100</v>
      </c>
      <c r="G70" t="s">
        <v>464</v>
      </c>
    </row>
    <row r="71">
      <c r="B71" s="4" t="s">
        <v>465</v>
      </c>
    </row>
    <row r="72">
      <c r="B72" s="4" t="s">
        <v>466</v>
      </c>
    </row>
    <row r="73">
      <c r="B73" s="4" t="s">
        <v>467</v>
      </c>
      <c r="D73" s="4" t="s">
        <v>468</v>
      </c>
    </row>
    <row r="74">
      <c r="C74" s="1" t="s">
        <v>469</v>
      </c>
    </row>
    <row r="75">
      <c r="B75" s="1" t="s">
        <v>42</v>
      </c>
      <c r="C75" s="1" t="s">
        <v>31</v>
      </c>
      <c r="D75" s="1">
        <v>100</v>
      </c>
      <c r="E75" s="1" t="s">
        <v>208</v>
      </c>
    </row>
    <row r="76" ht="14.25" customHeight="1">
      <c r="B76" s="1" t="s">
        <v>94</v>
      </c>
      <c r="C76" s="1" t="s">
        <v>31</v>
      </c>
      <c r="D76" s="1">
        <v>300</v>
      </c>
      <c r="E76" s="1" t="s">
        <v>210</v>
      </c>
      <c r="F76" s="1" t="s">
        <v>470</v>
      </c>
    </row>
    <row r="77" ht="14.25" customHeight="1">
      <c r="B77" s="1" t="s">
        <v>471</v>
      </c>
      <c r="C77" s="1" t="s">
        <v>31</v>
      </c>
      <c r="D77" s="1">
        <v>30</v>
      </c>
      <c r="E77" s="1" t="s">
        <v>210</v>
      </c>
      <c r="H77" s="4" t="s">
        <v>472</v>
      </c>
    </row>
    <row r="78" ht="14.25" customHeight="1">
      <c r="B78" s="1" t="s">
        <v>473</v>
      </c>
      <c r="C78" s="1" t="s">
        <v>31</v>
      </c>
      <c r="D78" s="1">
        <v>415</v>
      </c>
      <c r="E78" s="1" t="s">
        <v>210</v>
      </c>
    </row>
    <row r="79" ht="14.25" customHeight="1">
      <c r="B79" s="1" t="s">
        <v>474</v>
      </c>
      <c r="C79" s="1" t="s">
        <v>31</v>
      </c>
      <c r="D79" s="1">
        <v>1000</v>
      </c>
      <c r="E79" s="1" t="s">
        <v>435</v>
      </c>
      <c r="F79" s="1" t="s">
        <v>475</v>
      </c>
    </row>
    <row r="80" ht="14.25" customHeight="1">
      <c r="B80" s="1" t="s">
        <v>476</v>
      </c>
      <c r="C80" s="1" t="s">
        <v>31</v>
      </c>
      <c r="D80" s="1">
        <v>886</v>
      </c>
      <c r="E80" s="1" t="s">
        <v>435</v>
      </c>
      <c r="F80" s="1" t="s">
        <v>477</v>
      </c>
    </row>
    <row r="81" ht="14.25" customHeight="1">
      <c r="B81" s="1" t="s">
        <v>478</v>
      </c>
      <c r="C81" s="1" t="s">
        <v>31</v>
      </c>
      <c r="D81" s="1">
        <v>50.22709347548209</v>
      </c>
      <c r="E81" s="1" t="s">
        <v>435</v>
      </c>
    </row>
    <row r="82" ht="14.25" customHeight="1">
      <c r="B82" s="1" t="s">
        <v>479</v>
      </c>
      <c r="C82" s="1" t="s">
        <v>31</v>
      </c>
      <c r="D82" s="1">
        <v>113.04</v>
      </c>
      <c r="E82" s="1" t="s">
        <v>435</v>
      </c>
      <c r="F82" s="1" t="s">
        <v>480</v>
      </c>
    </row>
    <row r="83">
      <c r="B83" t="s">
        <v>461</v>
      </c>
      <c r="C83" t="s">
        <v>462</v>
      </c>
      <c r="D83" s="4">
        <v>100</v>
      </c>
      <c r="E83" s="1" t="s">
        <v>208</v>
      </c>
    </row>
    <row r="84" ht="14.25" customHeight="1">
      <c r="B84" t="s">
        <v>455</v>
      </c>
      <c r="C84">
        <v>12</v>
      </c>
      <c r="D84" s="8" t="s">
        <v>463</v>
      </c>
      <c r="F84" s="4">
        <v>100</v>
      </c>
      <c r="G84" t="s">
        <v>464</v>
      </c>
    </row>
    <row r="85">
      <c r="B85" s="4" t="s">
        <v>465</v>
      </c>
    </row>
    <row r="86">
      <c r="B86" s="4" t="s">
        <v>481</v>
      </c>
    </row>
    <row r="87">
      <c r="B87" t="s">
        <v>482</v>
      </c>
    </row>
    <row r="88">
      <c r="B88" t="s">
        <v>483</v>
      </c>
      <c r="C88" s="4">
        <v>12</v>
      </c>
      <c r="D88" s="4" t="s">
        <v>441</v>
      </c>
      <c r="E88" s="4">
        <v>150</v>
      </c>
      <c r="F88" s="4" t="s">
        <v>443</v>
      </c>
      <c r="H88" t="s">
        <v>1386</v>
      </c>
    </row>
    <row r="89">
      <c r="B89" t="s">
        <v>445</v>
      </c>
      <c r="C89" t="s">
        <v>485</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1387</v>
      </c>
    </row>
    <row r="2">
      <c r="A2" t="s">
        <v>0</v>
      </c>
    </row>
    <row r="3">
      <c r="A3" t="s">
        <v>1092</v>
      </c>
    </row>
    <row r="4">
      <c r="A4" t="s">
        <v>638</v>
      </c>
    </row>
    <row r="5">
      <c r="A5" t="s">
        <v>639</v>
      </c>
      <c r="C5">
        <v>0.975</v>
      </c>
      <c r="D5" t="s">
        <v>177</v>
      </c>
      <c r="E5">
        <v>15</v>
      </c>
      <c r="F5" t="s">
        <v>640</v>
      </c>
      <c r="G5">
        <v>2.4</v>
      </c>
      <c r="H5" t="s">
        <v>31</v>
      </c>
      <c r="I5" s="1">
        <v>35.1</v>
      </c>
      <c r="J5" t="s">
        <v>608</v>
      </c>
    </row>
    <row r="6">
      <c r="A6" t="s">
        <v>641</v>
      </c>
      <c r="C6">
        <v>0.075</v>
      </c>
      <c r="D6" t="s">
        <v>177</v>
      </c>
      <c r="E6">
        <v>12</v>
      </c>
      <c r="F6" t="s">
        <v>640</v>
      </c>
      <c r="G6">
        <v>2.4</v>
      </c>
      <c r="H6" t="s">
        <v>31</v>
      </c>
      <c r="I6" s="1">
        <v>2.1599999999999997</v>
      </c>
      <c r="J6" t="s">
        <v>608</v>
      </c>
    </row>
    <row r="7">
      <c r="G7" t="s">
        <v>149</v>
      </c>
      <c r="I7" s="1">
        <v>37.26</v>
      </c>
      <c r="J7" t="s">
        <v>608</v>
      </c>
    </row>
    <row r="8">
      <c r="A8" t="s">
        <v>1093</v>
      </c>
      <c r="E8" t="s">
        <v>31</v>
      </c>
    </row>
    <row r="9">
      <c r="E9" s="1">
        <v>37.26</v>
      </c>
      <c r="F9" t="s">
        <v>85</v>
      </c>
      <c r="G9">
        <v>2</v>
      </c>
      <c r="H9" t="s">
        <v>31</v>
      </c>
      <c r="I9" s="1">
        <v>18.63</v>
      </c>
      <c r="J9" t="s">
        <v>608</v>
      </c>
    </row>
    <row r="10">
      <c r="A10" t="s">
        <v>1094</v>
      </c>
    </row>
    <row r="11">
      <c r="D11" t="s">
        <v>644</v>
      </c>
      <c r="E11" s="1">
        <v>82.5</v>
      </c>
      <c r="F11" t="s">
        <v>177</v>
      </c>
      <c r="G11">
        <v>1.1375</v>
      </c>
      <c r="H11" t="s">
        <v>31</v>
      </c>
      <c r="I11" s="1">
        <v>93.84375</v>
      </c>
      <c r="J11" t="s">
        <v>608</v>
      </c>
    </row>
    <row r="12">
      <c r="A12" t="s">
        <v>645</v>
      </c>
    </row>
    <row r="13">
      <c r="A13" t="s">
        <v>646</v>
      </c>
    </row>
    <row r="14">
      <c r="A14" t="s">
        <v>647</v>
      </c>
      <c r="D14" t="s">
        <v>648</v>
      </c>
      <c r="E14">
        <v>6.695</v>
      </c>
      <c r="F14" t="s">
        <v>70</v>
      </c>
    </row>
    <row r="15">
      <c r="A15" t="s">
        <v>649</v>
      </c>
    </row>
    <row r="16">
      <c r="A16" t="s">
        <v>1095</v>
      </c>
      <c r="D16" t="s">
        <v>644</v>
      </c>
      <c r="E16" s="1">
        <v>93.84375</v>
      </c>
      <c r="F16" t="s">
        <v>85</v>
      </c>
      <c r="G16">
        <v>6.695</v>
      </c>
      <c r="H16" t="s">
        <v>31</v>
      </c>
      <c r="I16" s="1">
        <v>14.016990291262136</v>
      </c>
      <c r="J16" t="s">
        <v>608</v>
      </c>
    </row>
    <row r="17">
      <c r="B17" t="s">
        <v>651</v>
      </c>
    </row>
    <row r="18">
      <c r="A18" t="s">
        <v>652</v>
      </c>
      <c r="D18" s="1">
        <v>18.63</v>
      </c>
      <c r="E18" t="s">
        <v>126</v>
      </c>
      <c r="F18" s="1">
        <v>14.016990291262136</v>
      </c>
      <c r="H18" t="s">
        <v>31</v>
      </c>
      <c r="I18" s="1">
        <v>32.646990291262135</v>
      </c>
      <c r="J18" t="s">
        <v>608</v>
      </c>
    </row>
    <row r="19">
      <c r="A19" t="s">
        <v>1096</v>
      </c>
      <c r="I19" t="s">
        <v>654</v>
      </c>
    </row>
    <row r="20">
      <c r="A20" t="s">
        <v>655</v>
      </c>
      <c r="D20">
        <v>86.25</v>
      </c>
      <c r="E20" t="s">
        <v>656</v>
      </c>
    </row>
    <row r="21">
      <c r="A21" t="s">
        <v>657</v>
      </c>
    </row>
    <row r="22">
      <c r="A22" t="s">
        <v>658</v>
      </c>
      <c r="D22" t="s">
        <v>31</v>
      </c>
      <c r="E22">
        <v>33.75</v>
      </c>
      <c r="F22" t="s">
        <v>656</v>
      </c>
      <c r="G22" t="s">
        <v>31</v>
      </c>
      <c r="H22" s="1">
        <v>0.3375</v>
      </c>
      <c r="I22" t="s">
        <v>70</v>
      </c>
    </row>
    <row r="23" ht="28.5" customHeight="1">
      <c r="A23" t="s">
        <v>659</v>
      </c>
      <c r="C23" s="1">
        <v>32.646990291262135</v>
      </c>
      <c r="D23" t="s">
        <v>69</v>
      </c>
      <c r="E23" s="1">
        <v>0.3375</v>
      </c>
      <c r="H23" s="1">
        <v>11.02</v>
      </c>
      <c r="I23" t="s">
        <v>660</v>
      </c>
    </row>
    <row r="24" ht="28.5" customHeight="1">
      <c r="B24" t="s">
        <v>31</v>
      </c>
      <c r="C24" s="1">
        <v>11.02</v>
      </c>
      <c r="D24" t="s">
        <v>69</v>
      </c>
      <c r="E24" s="1">
        <v>10</v>
      </c>
      <c r="F24" t="s">
        <v>31</v>
      </c>
      <c r="G24">
        <v>110.2</v>
      </c>
      <c r="H24" t="s">
        <v>661</v>
      </c>
    </row>
    <row r="25">
      <c r="A25" t="s">
        <v>662</v>
      </c>
    </row>
    <row r="26">
      <c r="B26" t="s">
        <v>1097</v>
      </c>
      <c r="E26" s="1">
        <v>110.2</v>
      </c>
      <c r="F26" s="1" t="s">
        <v>301</v>
      </c>
    </row>
    <row r="27">
      <c r="B27" t="s">
        <v>518</v>
      </c>
      <c r="E27" t="s">
        <v>664</v>
      </c>
    </row>
    <row r="28">
      <c r="B28" t="s">
        <v>519</v>
      </c>
      <c r="E28">
        <v>10</v>
      </c>
      <c r="F28" t="s">
        <v>210</v>
      </c>
    </row>
    <row r="29">
      <c r="B29" t="s">
        <v>63</v>
      </c>
      <c r="E29" s="1">
        <v>9.333333333333334</v>
      </c>
    </row>
    <row r="30">
      <c r="B30" t="s">
        <v>520</v>
      </c>
      <c r="E30">
        <v>200</v>
      </c>
    </row>
    <row r="31">
      <c r="B31" t="s">
        <v>521</v>
      </c>
      <c r="E31" s="2">
        <v>0.3181818181818182</v>
      </c>
    </row>
    <row r="32">
      <c r="B32" t="s">
        <v>522</v>
      </c>
      <c r="E32" s="2">
        <v>0.8939393939393939</v>
      </c>
    </row>
    <row r="33">
      <c r="B33" t="s">
        <v>151</v>
      </c>
      <c r="E33" s="2">
        <v>1.4221763085399448</v>
      </c>
    </row>
    <row r="34">
      <c r="B34" t="s">
        <v>523</v>
      </c>
      <c r="E34" s="4">
        <v>278.364646665695</v>
      </c>
      <c r="F34" t="s">
        <v>208</v>
      </c>
    </row>
    <row r="35">
      <c r="B35" t="s">
        <v>524</v>
      </c>
      <c r="E35" s="4">
        <v>1200</v>
      </c>
      <c r="F35" t="s">
        <v>208</v>
      </c>
    </row>
    <row r="36">
      <c r="B36" t="s">
        <v>525</v>
      </c>
      <c r="E36" s="4">
        <v>50</v>
      </c>
      <c r="F36" t="s">
        <v>208</v>
      </c>
    </row>
    <row r="37">
      <c r="B37" t="s">
        <v>526</v>
      </c>
      <c r="E37" s="4">
        <v>25</v>
      </c>
      <c r="F37" t="s">
        <v>208</v>
      </c>
    </row>
    <row r="38">
      <c r="B38" t="s">
        <v>527</v>
      </c>
      <c r="E38" s="4">
        <v>1137.5</v>
      </c>
      <c r="F38" t="s">
        <v>208</v>
      </c>
    </row>
    <row r="39">
      <c r="B39" t="s">
        <v>528</v>
      </c>
      <c r="E39">
        <v>1137.5</v>
      </c>
      <c r="F39" t="s">
        <v>208</v>
      </c>
    </row>
    <row r="40" ht="14.25" customHeight="1">
      <c r="B40" t="s">
        <v>529</v>
      </c>
      <c r="E40" s="4">
        <v>541.8662693238964</v>
      </c>
      <c r="F40" t="s">
        <v>435</v>
      </c>
    </row>
    <row r="41" ht="14.25" customHeight="1">
      <c r="B41" t="s">
        <v>530</v>
      </c>
      <c r="E41" s="4">
        <v>490.625</v>
      </c>
      <c r="F41" t="s">
        <v>435</v>
      </c>
    </row>
    <row r="42">
      <c r="B42" t="s">
        <v>531</v>
      </c>
      <c r="E42" s="4">
        <v>905.4355802810318</v>
      </c>
      <c r="F42" t="s">
        <v>208</v>
      </c>
    </row>
    <row r="43">
      <c r="B43" t="s">
        <v>532</v>
      </c>
      <c r="C43" s="4">
        <v>25</v>
      </c>
      <c r="D43" t="s">
        <v>208</v>
      </c>
      <c r="E43" s="4">
        <v>100</v>
      </c>
      <c r="F43" t="s">
        <v>208</v>
      </c>
      <c r="G43" t="s">
        <v>665</v>
      </c>
    </row>
    <row r="44">
      <c r="B44" t="s">
        <v>538</v>
      </c>
      <c r="C44" s="4">
        <v>25</v>
      </c>
      <c r="D44" t="s">
        <v>208</v>
      </c>
      <c r="E44" s="4">
        <v>100</v>
      </c>
      <c r="F44" t="s">
        <v>208</v>
      </c>
    </row>
    <row r="45">
      <c r="B45" t="s">
        <v>666</v>
      </c>
      <c r="C45">
        <v>16</v>
      </c>
      <c r="D45" t="s">
        <v>208</v>
      </c>
      <c r="E45" s="4">
        <v>100</v>
      </c>
      <c r="F45" t="s">
        <v>208</v>
      </c>
    </row>
    <row r="46">
      <c r="A46" t="s">
        <v>1098</v>
      </c>
    </row>
    <row r="47">
      <c r="A47" t="s">
        <v>668</v>
      </c>
    </row>
    <row r="48">
      <c r="A48" t="s">
        <v>669</v>
      </c>
      <c r="C48">
        <v>0.975</v>
      </c>
      <c r="D48" t="s">
        <v>177</v>
      </c>
      <c r="E48">
        <v>15</v>
      </c>
      <c r="F48" t="s">
        <v>640</v>
      </c>
      <c r="G48">
        <v>2.4</v>
      </c>
      <c r="H48" t="s">
        <v>31</v>
      </c>
      <c r="I48" s="1">
        <v>35.1</v>
      </c>
      <c r="J48" t="s">
        <v>608</v>
      </c>
    </row>
    <row r="49">
      <c r="A49" t="s">
        <v>641</v>
      </c>
      <c r="C49">
        <v>0.075</v>
      </c>
      <c r="D49" t="s">
        <v>177</v>
      </c>
      <c r="E49">
        <v>12</v>
      </c>
      <c r="F49" t="s">
        <v>640</v>
      </c>
      <c r="G49">
        <v>2.4</v>
      </c>
      <c r="H49" t="s">
        <v>31</v>
      </c>
      <c r="I49" s="1">
        <v>2.1599999999999997</v>
      </c>
      <c r="J49" t="s">
        <v>608</v>
      </c>
    </row>
    <row r="50">
      <c r="G50" t="s">
        <v>149</v>
      </c>
      <c r="I50" s="1">
        <v>37.26</v>
      </c>
      <c r="J50" t="s">
        <v>608</v>
      </c>
    </row>
    <row r="51">
      <c r="A51" t="s">
        <v>1099</v>
      </c>
      <c r="E51" t="s">
        <v>31</v>
      </c>
    </row>
    <row r="52">
      <c r="E52" s="1">
        <v>37.26</v>
      </c>
      <c r="F52" t="s">
        <v>85</v>
      </c>
      <c r="G52">
        <v>2</v>
      </c>
      <c r="H52" t="s">
        <v>31</v>
      </c>
      <c r="I52" s="1">
        <v>18.63</v>
      </c>
      <c r="J52" t="s">
        <v>671</v>
      </c>
    </row>
    <row r="53">
      <c r="A53" t="s">
        <v>1100</v>
      </c>
      <c r="E53" t="s">
        <v>673</v>
      </c>
      <c r="I53">
        <v>64.69</v>
      </c>
      <c r="J53" t="s">
        <v>608</v>
      </c>
    </row>
    <row r="55">
      <c r="A55" t="s">
        <v>674</v>
      </c>
    </row>
    <row r="56">
      <c r="A56" t="s">
        <v>675</v>
      </c>
      <c r="C56" t="s">
        <v>673</v>
      </c>
      <c r="D56">
        <v>5.3</v>
      </c>
      <c r="E56" t="s">
        <v>70</v>
      </c>
    </row>
    <row r="58">
      <c r="A58" t="s">
        <v>1101</v>
      </c>
      <c r="E58" s="1">
        <v>64.69</v>
      </c>
      <c r="F58" t="s">
        <v>85</v>
      </c>
      <c r="G58">
        <v>5.3</v>
      </c>
      <c r="H58" t="s">
        <v>31</v>
      </c>
      <c r="I58" s="1">
        <v>12.205660377358491</v>
      </c>
      <c r="J58" t="s">
        <v>671</v>
      </c>
    </row>
    <row r="59">
      <c r="A59" t="s">
        <v>1102</v>
      </c>
      <c r="D59" s="1">
        <v>18.63</v>
      </c>
      <c r="E59" t="s">
        <v>126</v>
      </c>
      <c r="F59" s="1">
        <v>12.205660377358491</v>
      </c>
      <c r="H59" t="s">
        <v>31</v>
      </c>
      <c r="I59" s="1">
        <v>30.84</v>
      </c>
      <c r="J59" t="s">
        <v>608</v>
      </c>
    </row>
    <row r="60">
      <c r="A60" t="s">
        <v>678</v>
      </c>
      <c r="I60" t="s">
        <v>654</v>
      </c>
    </row>
    <row r="61">
      <c r="A61" t="s">
        <v>1103</v>
      </c>
    </row>
    <row r="62">
      <c r="A62" t="s">
        <v>680</v>
      </c>
    </row>
    <row r="63" ht="28.5" customHeight="1">
      <c r="A63" t="s">
        <v>681</v>
      </c>
      <c r="C63" s="1">
        <v>30.84</v>
      </c>
      <c r="D63" t="s">
        <v>69</v>
      </c>
      <c r="E63">
        <v>0</v>
      </c>
      <c r="H63" s="1">
        <v>0</v>
      </c>
      <c r="I63" t="s">
        <v>660</v>
      </c>
    </row>
    <row r="64">
      <c r="A64" t="s">
        <v>682</v>
      </c>
    </row>
    <row r="65">
      <c r="A65" t="s">
        <v>1104</v>
      </c>
    </row>
    <row r="66">
      <c r="A66" t="s">
        <v>1105</v>
      </c>
    </row>
    <row r="67">
      <c r="A67" t="s">
        <v>685</v>
      </c>
    </row>
    <row r="68">
      <c r="A68" t="s">
        <v>1106</v>
      </c>
    </row>
    <row r="69">
      <c r="A69" t="s">
        <v>687</v>
      </c>
    </row>
    <row r="70">
      <c r="A70" t="s">
        <v>688</v>
      </c>
    </row>
    <row r="71">
      <c r="A71" t="s">
        <v>689</v>
      </c>
    </row>
    <row r="72" ht="14.25" customHeight="1">
      <c r="A72" t="s">
        <v>690</v>
      </c>
      <c r="F72">
        <v>250</v>
      </c>
      <c r="G72" t="s">
        <v>69</v>
      </c>
      <c r="H72">
        <v>1.2</v>
      </c>
      <c r="I72" t="s">
        <v>31</v>
      </c>
      <c r="J72">
        <v>300</v>
      </c>
      <c r="K72" t="s">
        <v>435</v>
      </c>
    </row>
    <row r="73">
      <c r="A73" t="s">
        <v>1107</v>
      </c>
    </row>
    <row r="74">
      <c r="A74" t="s">
        <v>1108</v>
      </c>
    </row>
    <row r="75">
      <c r="A75" t="s">
        <v>693</v>
      </c>
    </row>
    <row r="76" ht="14.25" customHeight="1">
      <c r="A76" t="s">
        <v>694</v>
      </c>
      <c r="C76" t="s">
        <v>31</v>
      </c>
      <c r="D76">
        <v>6874</v>
      </c>
      <c r="E76" t="s">
        <v>435</v>
      </c>
      <c r="F76" t="s">
        <v>695</v>
      </c>
      <c r="H76" t="s">
        <v>696</v>
      </c>
    </row>
    <row r="78">
      <c r="A78" t="s">
        <v>697</v>
      </c>
    </row>
    <row r="79" ht="14.25" customHeight="1">
      <c r="A79" t="s">
        <v>698</v>
      </c>
      <c r="C79" t="s">
        <v>31</v>
      </c>
      <c r="D79">
        <v>2814</v>
      </c>
      <c r="E79" t="s">
        <v>435</v>
      </c>
      <c r="F79" t="s">
        <v>695</v>
      </c>
      <c r="H79" t="s">
        <v>696</v>
      </c>
    </row>
    <row r="80">
      <c r="A80" t="s">
        <v>699</v>
      </c>
    </row>
    <row r="81">
      <c r="B81" t="s">
        <v>700</v>
      </c>
      <c r="C81" s="1">
        <v>30.84</v>
      </c>
      <c r="D81" t="s">
        <v>608</v>
      </c>
    </row>
    <row r="82">
      <c r="B82" t="s">
        <v>545</v>
      </c>
      <c r="E82" s="1">
        <v>308.4</v>
      </c>
      <c r="F82" t="s">
        <v>182</v>
      </c>
    </row>
    <row r="83">
      <c r="B83" t="s">
        <v>546</v>
      </c>
      <c r="C83" t="s">
        <v>547</v>
      </c>
    </row>
    <row r="84" ht="14.25" customHeight="1">
      <c r="B84" t="s">
        <v>548</v>
      </c>
      <c r="E84" s="1">
        <v>0.2711208791208791</v>
      </c>
      <c r="F84" s="1" t="s">
        <v>210</v>
      </c>
    </row>
    <row r="85">
      <c r="B85" t="s">
        <v>549</v>
      </c>
      <c r="C85" t="s">
        <v>550</v>
      </c>
      <c r="E85" s="1">
        <v>0.2473846153846154</v>
      </c>
    </row>
    <row r="86" ht="14.25" customHeight="1">
      <c r="B86" t="s">
        <v>551</v>
      </c>
      <c r="E86" s="1">
        <v>0.23</v>
      </c>
      <c r="F86" s="1" t="s">
        <v>210</v>
      </c>
    </row>
    <row r="87">
      <c r="B87" t="s">
        <v>552</v>
      </c>
    </row>
    <row r="88" ht="14.25" customHeight="1">
      <c r="B88" t="s">
        <v>553</v>
      </c>
      <c r="E88" s="1">
        <v>0.23</v>
      </c>
      <c r="F88" s="1" t="s">
        <v>210</v>
      </c>
    </row>
    <row r="89" ht="26.25" customHeight="1">
      <c r="D89" t="s">
        <v>554</v>
      </c>
    </row>
    <row r="90" ht="21" customHeight="1">
      <c r="B90" t="s">
        <v>555</v>
      </c>
      <c r="E90">
        <v>16</v>
      </c>
      <c r="F90" t="s">
        <v>208</v>
      </c>
    </row>
    <row r="91" ht="14.25" customHeight="1">
      <c r="B91" t="s">
        <v>536</v>
      </c>
      <c r="E91" s="4">
        <v>200.96</v>
      </c>
      <c r="F91" t="s">
        <v>435</v>
      </c>
    </row>
    <row r="92">
      <c r="B92" t="s">
        <v>556</v>
      </c>
      <c r="E92" s="4">
        <v>296.48767833981844</v>
      </c>
      <c r="F92" t="s">
        <v>208</v>
      </c>
    </row>
    <row r="93">
      <c r="B93" t="s">
        <v>532</v>
      </c>
      <c r="C93">
        <v>16</v>
      </c>
      <c r="D93" t="s">
        <v>208</v>
      </c>
      <c r="E93">
        <v>100</v>
      </c>
      <c r="F93" t="s">
        <v>208</v>
      </c>
      <c r="G93" t="s">
        <v>665</v>
      </c>
    </row>
    <row r="94">
      <c r="A94" t="s">
        <v>701</v>
      </c>
    </row>
    <row r="95">
      <c r="A95" t="s">
        <v>1109</v>
      </c>
    </row>
    <row r="96">
      <c r="A96" t="s">
        <v>1110</v>
      </c>
    </row>
    <row r="97"/>
    <row r="98">
      <c r="A98" t="s">
        <v>704</v>
      </c>
    </row>
    <row r="99">
      <c r="B99" t="s">
        <v>700</v>
      </c>
      <c r="C99">
        <v>20.3</v>
      </c>
      <c r="D99" t="s">
        <v>608</v>
      </c>
    </row>
    <row r="100">
      <c r="B100" t="s">
        <v>545</v>
      </c>
      <c r="E100" s="1">
        <v>203</v>
      </c>
      <c r="F100" t="s">
        <v>182</v>
      </c>
    </row>
    <row r="101">
      <c r="B101" t="s">
        <v>546</v>
      </c>
      <c r="C101" t="s">
        <v>547</v>
      </c>
    </row>
    <row r="102" ht="14.25" customHeight="1">
      <c r="B102" t="s">
        <v>548</v>
      </c>
      <c r="E102" s="1">
        <v>0.17846153846153845</v>
      </c>
      <c r="F102" s="1" t="s">
        <v>210</v>
      </c>
    </row>
    <row r="103">
      <c r="B103" t="s">
        <v>549</v>
      </c>
      <c r="C103" t="s">
        <v>550</v>
      </c>
      <c r="E103" s="1">
        <v>0.2473846153846154</v>
      </c>
    </row>
    <row r="104" ht="14.25" customHeight="1">
      <c r="B104" t="s">
        <v>551</v>
      </c>
      <c r="E104" s="1">
        <v>0.23</v>
      </c>
      <c r="F104" s="1" t="s">
        <v>210</v>
      </c>
    </row>
    <row r="105">
      <c r="B105" t="s">
        <v>552</v>
      </c>
    </row>
    <row r="106" ht="14.25" customHeight="1">
      <c r="B106" t="s">
        <v>553</v>
      </c>
      <c r="E106" s="1">
        <v>0.23</v>
      </c>
      <c r="F106" s="1" t="s">
        <v>210</v>
      </c>
    </row>
    <row r="107" ht="26.25" customHeight="1">
      <c r="D107" t="s">
        <v>705</v>
      </c>
    </row>
    <row r="108">
      <c r="A108" t="s">
        <v>701</v>
      </c>
    </row>
    <row r="109">
      <c r="A109" t="s">
        <v>1109</v>
      </c>
    </row>
    <row r="110">
      <c r="A110" t="s">
        <v>1110</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1111</v>
      </c>
    </row>
    <row r="2">
      <c r="A2" t="s">
        <v>1112</v>
      </c>
      <c r="F2" s="1">
        <v>31.6</v>
      </c>
      <c r="G2" t="s">
        <v>867</v>
      </c>
    </row>
    <row r="3">
      <c r="A3" t="s">
        <v>1113</v>
      </c>
      <c r="F3">
        <v>1000</v>
      </c>
      <c r="G3" t="s">
        <v>443</v>
      </c>
      <c r="H3" t="s">
        <v>1114</v>
      </c>
      <c r="I3" s="1">
        <v>0.003933333333333334</v>
      </c>
    </row>
    <row r="4">
      <c r="A4" t="s">
        <v>1115</v>
      </c>
      <c r="F4">
        <v>300</v>
      </c>
      <c r="G4" t="s">
        <v>443</v>
      </c>
      <c r="H4" t="s">
        <v>1116</v>
      </c>
      <c r="I4" s="1">
        <v>0.005333333333333334</v>
      </c>
    </row>
    <row r="5">
      <c r="A5" t="s">
        <v>1117</v>
      </c>
      <c r="F5" s="1">
        <v>12.8</v>
      </c>
      <c r="G5" t="s">
        <v>1118</v>
      </c>
    </row>
    <row r="6">
      <c r="A6" t="s">
        <v>1119</v>
      </c>
      <c r="F6" s="1">
        <v>47.400000000000006</v>
      </c>
      <c r="G6" t="s">
        <v>867</v>
      </c>
    </row>
    <row r="7">
      <c r="A7" t="s">
        <v>1120</v>
      </c>
      <c r="F7" s="1">
        <v>19.200000000000003</v>
      </c>
      <c r="G7" t="s">
        <v>1118</v>
      </c>
    </row>
    <row r="8">
      <c r="A8" t="s">
        <v>1121</v>
      </c>
      <c r="F8">
        <v>10</v>
      </c>
      <c r="G8" t="s">
        <v>443</v>
      </c>
    </row>
    <row r="9">
      <c r="A9" t="s">
        <v>1122</v>
      </c>
      <c r="F9">
        <v>40</v>
      </c>
      <c r="G9" t="s">
        <v>443</v>
      </c>
    </row>
    <row r="10">
      <c r="A10" t="s">
        <v>1123</v>
      </c>
      <c r="F10">
        <v>45</v>
      </c>
      <c r="G10" t="s">
        <v>443</v>
      </c>
    </row>
    <row r="11">
      <c r="A11" t="s">
        <v>1124</v>
      </c>
      <c r="F11" s="1">
        <v>0.15</v>
      </c>
    </row>
    <row r="12">
      <c r="A12" t="s">
        <v>1125</v>
      </c>
      <c r="F12" s="1">
        <v>0.15</v>
      </c>
    </row>
    <row r="13">
      <c r="A13" t="s">
        <v>1126</v>
      </c>
      <c r="F13" s="1">
        <v>0.005266666666666668</v>
      </c>
    </row>
    <row r="14" ht="14.25" customHeight="1">
      <c r="A14" t="s">
        <v>1127</v>
      </c>
      <c r="F14" s="1">
        <v>0.007111111111111112</v>
      </c>
    </row>
    <row r="15">
      <c r="A15" t="s">
        <v>1128</v>
      </c>
    </row>
    <row r="16">
      <c r="A16" t="s">
        <v>1129</v>
      </c>
      <c r="F16">
        <v>33</v>
      </c>
      <c r="H16" t="s">
        <v>1130</v>
      </c>
    </row>
    <row r="17">
      <c r="A17" t="s">
        <v>1131</v>
      </c>
      <c r="F17">
        <v>0.01</v>
      </c>
    </row>
    <row r="18">
      <c r="A18" t="s">
        <v>38</v>
      </c>
      <c r="F18">
        <v>0.3</v>
      </c>
      <c r="H18" t="s">
        <v>1132</v>
      </c>
    </row>
    <row r="19">
      <c r="A19" t="s">
        <v>1133</v>
      </c>
      <c r="F19">
        <v>900</v>
      </c>
      <c r="G19" t="s">
        <v>1134</v>
      </c>
    </row>
    <row r="20">
      <c r="A20" t="s">
        <v>1135</v>
      </c>
      <c r="F20" s="4">
        <v>12</v>
      </c>
    </row>
    <row r="21">
      <c r="A21" t="s">
        <v>1136</v>
      </c>
      <c r="F21" s="4">
        <v>6</v>
      </c>
    </row>
    <row r="22">
      <c r="A22" t="s">
        <v>1137</v>
      </c>
      <c r="F22">
        <v>200</v>
      </c>
      <c r="G22" t="s">
        <v>443</v>
      </c>
    </row>
    <row r="24" ht="15.75" customHeight="1">
      <c r="A24" t="s">
        <v>1138</v>
      </c>
    </row>
    <row r="26">
      <c r="D26" t="s">
        <v>1139</v>
      </c>
      <c r="E26" t="s">
        <v>31</v>
      </c>
      <c r="F26" s="1">
        <v>12.8</v>
      </c>
      <c r="G26" t="s">
        <v>1118</v>
      </c>
    </row>
    <row r="27" ht="14.25" customHeight="1">
      <c r="C27" t="s">
        <v>1140</v>
      </c>
      <c r="F27" s="1">
        <v>12.8</v>
      </c>
      <c r="G27" t="s">
        <v>69</v>
      </c>
      <c r="H27" t="s">
        <v>1141</v>
      </c>
      <c r="I27" t="s">
        <v>31</v>
      </c>
      <c r="J27">
        <v>118.7</v>
      </c>
      <c r="K27" t="s">
        <v>208</v>
      </c>
    </row>
    <row r="28">
      <c r="F28">
        <v>1000</v>
      </c>
      <c r="G28" t="s">
        <v>69</v>
      </c>
      <c r="H28">
        <v>0.972</v>
      </c>
    </row>
    <row r="29">
      <c r="C29" t="s">
        <v>1142</v>
      </c>
      <c r="D29">
        <v>300</v>
      </c>
      <c r="E29" t="s">
        <v>114</v>
      </c>
      <c r="F29">
        <v>50</v>
      </c>
      <c r="G29" t="s">
        <v>114</v>
      </c>
      <c r="H29">
        <v>16</v>
      </c>
      <c r="I29" t="s">
        <v>31</v>
      </c>
      <c r="J29">
        <v>245</v>
      </c>
      <c r="K29" t="s">
        <v>208</v>
      </c>
      <c r="L29" t="s">
        <v>1143</v>
      </c>
      <c r="M29">
        <v>118.7</v>
      </c>
      <c r="O29" t="s">
        <v>208</v>
      </c>
      <c r="P29" t="s">
        <v>1144</v>
      </c>
    </row>
    <row r="30">
      <c r="H30">
        <v>2</v>
      </c>
    </row>
    <row r="31" ht="14.25" customHeight="1">
      <c r="C31" t="s">
        <v>1145</v>
      </c>
      <c r="D31" t="s">
        <v>31</v>
      </c>
      <c r="F31" s="1">
        <v>12.8</v>
      </c>
      <c r="G31" t="s">
        <v>418</v>
      </c>
      <c r="I31" t="s">
        <v>1141</v>
      </c>
      <c r="K31" t="s">
        <v>31</v>
      </c>
      <c r="L31" s="1">
        <v>284.86858211114327</v>
      </c>
      <c r="M31" t="s">
        <v>435</v>
      </c>
    </row>
    <row r="32">
      <c r="F32">
        <v>200</v>
      </c>
      <c r="G32" t="s">
        <v>418</v>
      </c>
      <c r="H32">
        <v>0.917</v>
      </c>
      <c r="I32" t="s">
        <v>69</v>
      </c>
      <c r="J32">
        <v>245</v>
      </c>
    </row>
    <row r="33">
      <c r="B33" t="s">
        <v>1146</v>
      </c>
      <c r="F33" t="s">
        <v>1147</v>
      </c>
      <c r="G33" t="s">
        <v>1148</v>
      </c>
    </row>
    <row r="35">
      <c r="B35" t="s">
        <v>1149</v>
      </c>
    </row>
    <row r="36" ht="14.25" customHeight="1">
      <c r="B36" t="s">
        <v>1150</v>
      </c>
      <c r="G36" t="s">
        <v>31</v>
      </c>
      <c r="H36" s="4">
        <v>524</v>
      </c>
      <c r="I36" t="s">
        <v>435</v>
      </c>
    </row>
    <row r="37" ht="14.25" customHeight="1">
      <c r="B37" t="s">
        <v>1151</v>
      </c>
      <c r="G37" t="s">
        <v>31</v>
      </c>
      <c r="H37">
        <v>524</v>
      </c>
      <c r="I37" t="s">
        <v>435</v>
      </c>
    </row>
    <row r="38">
      <c r="B38" t="s">
        <v>1152</v>
      </c>
    </row>
    <row r="39">
      <c r="B39" t="s">
        <v>31</v>
      </c>
      <c r="C39">
        <v>0.002</v>
      </c>
      <c r="D39" t="s">
        <v>69</v>
      </c>
      <c r="E39">
        <v>1000</v>
      </c>
      <c r="F39" t="s">
        <v>69</v>
      </c>
      <c r="G39">
        <v>250</v>
      </c>
    </row>
    <row r="40" ht="14.25" customHeight="1">
      <c r="B40" t="s">
        <v>31</v>
      </c>
      <c r="D40" s="4">
        <v>500</v>
      </c>
      <c r="E40" t="s">
        <v>435</v>
      </c>
    </row>
    <row r="41" ht="14.25" customHeight="1">
      <c r="B41" t="s">
        <v>1153</v>
      </c>
      <c r="D41" t="s">
        <v>1154</v>
      </c>
    </row>
    <row r="42" ht="14.25" customHeight="1">
      <c r="B42" t="s">
        <v>1155</v>
      </c>
      <c r="D42" t="s">
        <v>1156</v>
      </c>
      <c r="F42" t="s">
        <v>1157</v>
      </c>
      <c r="G42" t="s">
        <v>31</v>
      </c>
      <c r="H42" s="4">
        <v>314</v>
      </c>
      <c r="I42" t="s">
        <v>435</v>
      </c>
    </row>
    <row r="43">
      <c r="C43" t="s">
        <v>482</v>
      </c>
    </row>
    <row r="44">
      <c r="C44" t="s">
        <v>1158</v>
      </c>
    </row>
    <row r="45">
      <c r="C45" t="s">
        <v>1159</v>
      </c>
      <c r="D45">
        <v>10</v>
      </c>
      <c r="E45" t="s">
        <v>208</v>
      </c>
    </row>
    <row r="46">
      <c r="C46" t="s">
        <v>442</v>
      </c>
      <c r="D46">
        <v>150</v>
      </c>
      <c r="E46" t="s">
        <v>208</v>
      </c>
    </row>
    <row r="47"/>
    <row r="48">
      <c r="C48" t="s">
        <v>1160</v>
      </c>
    </row>
    <row r="49">
      <c r="C49" t="s">
        <v>1159</v>
      </c>
      <c r="D49">
        <v>10</v>
      </c>
      <c r="E49" t="s">
        <v>208</v>
      </c>
    </row>
    <row r="50">
      <c r="C50" t="s">
        <v>442</v>
      </c>
      <c r="D50">
        <v>250</v>
      </c>
      <c r="E50" t="s">
        <v>208</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1161</v>
      </c>
    </row>
    <row r="2">
      <c r="B2" t="s">
        <v>1162</v>
      </c>
    </row>
    <row r="3">
      <c r="B3" t="s">
        <v>1163</v>
      </c>
      <c r="C3" t="s">
        <v>914</v>
      </c>
    </row>
    <row r="4">
      <c r="B4" t="s">
        <v>1164</v>
      </c>
      <c r="C4" t="s">
        <v>1165</v>
      </c>
    </row>
    <row r="5">
      <c r="B5" t="s">
        <v>1166</v>
      </c>
      <c r="C5" t="s">
        <v>1167</v>
      </c>
    </row>
    <row r="6">
      <c r="B6" t="s">
        <v>1166</v>
      </c>
      <c r="C6" t="s">
        <v>1168</v>
      </c>
    </row>
    <row r="7">
      <c r="B7" t="s">
        <v>1169</v>
      </c>
      <c r="C7" t="s">
        <v>1170</v>
      </c>
    </row>
    <row r="8">
      <c r="C8" t="s">
        <v>1171</v>
      </c>
    </row>
    <row r="9">
      <c r="C9" t="s">
        <v>1172</v>
      </c>
    </row>
    <row r="11">
      <c r="B11" t="s">
        <v>31</v>
      </c>
      <c r="C11" s="1">
        <v>2.9</v>
      </c>
      <c r="D11" t="s">
        <v>126</v>
      </c>
      <c r="E11" t="s">
        <v>212</v>
      </c>
      <c r="F11">
        <v>1.2</v>
      </c>
      <c r="G11" t="s">
        <v>126</v>
      </c>
      <c r="H11">
        <v>0.305</v>
      </c>
      <c r="I11" t="s">
        <v>83</v>
      </c>
      <c r="J11" t="s">
        <v>126</v>
      </c>
      <c r="K11">
        <v>0.83</v>
      </c>
    </row>
    <row r="13">
      <c r="B13" t="s">
        <v>31</v>
      </c>
      <c r="C13" s="1">
        <v>2.9</v>
      </c>
      <c r="D13" t="s">
        <v>126</v>
      </c>
      <c r="E13">
        <v>1.53</v>
      </c>
      <c r="G13" t="s">
        <v>126</v>
      </c>
      <c r="H13">
        <v>0.825</v>
      </c>
    </row>
    <row r="15">
      <c r="B15" t="s">
        <v>31</v>
      </c>
      <c r="C15">
        <v>5.255</v>
      </c>
      <c r="D15" t="s">
        <v>70</v>
      </c>
    </row>
    <row r="16">
      <c r="B16" t="s">
        <v>1173</v>
      </c>
      <c r="D16" t="s">
        <v>31</v>
      </c>
      <c r="E16">
        <v>14</v>
      </c>
      <c r="G16" t="s">
        <v>31</v>
      </c>
      <c r="H16">
        <v>2.66</v>
      </c>
      <c r="I16" t="s">
        <v>603</v>
      </c>
    </row>
    <row r="17">
      <c r="B17" t="s">
        <v>1174</v>
      </c>
      <c r="E17">
        <v>5.255</v>
      </c>
    </row>
    <row r="18">
      <c r="B18" t="s">
        <v>1175</v>
      </c>
      <c r="C18" t="s">
        <v>1176</v>
      </c>
    </row>
    <row r="19">
      <c r="B19" t="s">
        <v>31</v>
      </c>
      <c r="C19">
        <v>0.6</v>
      </c>
      <c r="D19" t="s">
        <v>69</v>
      </c>
      <c r="E19">
        <v>0.3</v>
      </c>
      <c r="F19" t="s">
        <v>69</v>
      </c>
      <c r="G19">
        <v>2.4</v>
      </c>
    </row>
    <row r="21">
      <c r="B21" t="s">
        <v>31</v>
      </c>
      <c r="C21">
        <v>0.495</v>
      </c>
      <c r="D21" t="s">
        <v>603</v>
      </c>
    </row>
    <row r="23">
      <c r="B23" t="s">
        <v>1177</v>
      </c>
      <c r="C23">
        <v>0.5</v>
      </c>
      <c r="D23" t="s">
        <v>603</v>
      </c>
    </row>
    <row r="25">
      <c r="B25" t="s">
        <v>1178</v>
      </c>
      <c r="E25">
        <v>2.66</v>
      </c>
      <c r="G25" t="s">
        <v>126</v>
      </c>
      <c r="H25">
        <v>0.5</v>
      </c>
      <c r="I25" t="s">
        <v>31</v>
      </c>
      <c r="J25">
        <v>3.16</v>
      </c>
      <c r="L25" t="s">
        <v>603</v>
      </c>
      <c r="M25" t="s">
        <v>31</v>
      </c>
      <c r="N25">
        <f>J25*10</f>
        <v>31.6</v>
      </c>
      <c r="O25" t="s">
        <v>182</v>
      </c>
    </row>
    <row r="27">
      <c r="B27" t="s">
        <v>1179</v>
      </c>
    </row>
    <row r="28">
      <c r="B28" t="s">
        <v>1180</v>
      </c>
    </row>
    <row r="29">
      <c r="B29" t="s">
        <v>1181</v>
      </c>
    </row>
    <row r="31">
      <c r="B31" t="s">
        <v>1182</v>
      </c>
      <c r="E31" t="s">
        <v>31</v>
      </c>
      <c r="G31">
        <v>0.2</v>
      </c>
      <c r="H31" t="s">
        <v>69</v>
      </c>
      <c r="I31">
        <v>14</v>
      </c>
      <c r="K31" t="s">
        <v>69</v>
      </c>
      <c r="L31">
        <v>1</v>
      </c>
      <c r="M31" t="s">
        <v>31</v>
      </c>
      <c r="N31">
        <v>0.53</v>
      </c>
      <c r="O31" t="s">
        <v>608</v>
      </c>
    </row>
    <row r="32">
      <c r="H32">
        <v>5.255</v>
      </c>
    </row>
    <row r="33">
      <c r="B33" t="s">
        <v>1183</v>
      </c>
    </row>
    <row r="35">
      <c r="B35" t="s">
        <v>31</v>
      </c>
      <c r="C35">
        <v>0.53</v>
      </c>
      <c r="D35" t="s">
        <v>1184</v>
      </c>
      <c r="E35" s="9">
        <v>1.2</v>
      </c>
      <c r="F35" t="s">
        <v>1185</v>
      </c>
      <c r="G35">
        <v>0.83</v>
      </c>
      <c r="M35" t="s">
        <v>1186</v>
      </c>
    </row>
    <row r="36">
      <c r="B36" t="s">
        <v>31</v>
      </c>
      <c r="C36">
        <v>1.07</v>
      </c>
      <c r="D36" t="s">
        <v>868</v>
      </c>
    </row>
    <row r="37">
      <c r="B37" t="s">
        <v>1187</v>
      </c>
    </row>
    <row r="39">
      <c r="B39" t="s">
        <v>31</v>
      </c>
      <c r="C39">
        <v>0.224</v>
      </c>
      <c r="D39" t="s">
        <v>69</v>
      </c>
      <c r="E39" s="9">
        <v>1.8</v>
      </c>
      <c r="F39" t="s">
        <v>69</v>
      </c>
      <c r="G39">
        <v>1.2</v>
      </c>
    </row>
    <row r="41" ht="14.25" customHeight="1">
      <c r="B41" t="s">
        <v>31</v>
      </c>
      <c r="C41">
        <v>0.483</v>
      </c>
      <c r="D41" t="s">
        <v>1188</v>
      </c>
    </row>
    <row r="43">
      <c r="B43" t="s">
        <v>1189</v>
      </c>
      <c r="G43" t="s">
        <v>31</v>
      </c>
    </row>
    <row r="45">
      <c r="B45" t="s">
        <v>31</v>
      </c>
      <c r="C45">
        <v>0.224</v>
      </c>
      <c r="D45" t="s">
        <v>69</v>
      </c>
      <c r="E45" s="9">
        <v>1.8</v>
      </c>
      <c r="F45" t="s">
        <v>1190</v>
      </c>
      <c r="G45">
        <v>1.2</v>
      </c>
      <c r="H45" t="s">
        <v>126</v>
      </c>
      <c r="I45">
        <v>0.825</v>
      </c>
      <c r="K45" t="s">
        <v>83</v>
      </c>
    </row>
    <row r="47" ht="14.25" customHeight="1">
      <c r="B47" t="s">
        <v>31</v>
      </c>
      <c r="C47">
        <v>0.816</v>
      </c>
      <c r="D47" t="s">
        <v>1188</v>
      </c>
    </row>
    <row r="48">
      <c r="B48" t="s">
        <v>1191</v>
      </c>
    </row>
    <row r="49">
      <c r="B49" t="s">
        <v>1192</v>
      </c>
    </row>
    <row r="50">
      <c r="C50">
        <v>1</v>
      </c>
      <c r="D50" t="s">
        <v>1193</v>
      </c>
      <c r="E50">
        <v>0.816</v>
      </c>
      <c r="G50" t="s">
        <v>114</v>
      </c>
      <c r="H50">
        <v>0.483</v>
      </c>
      <c r="J50" t="s">
        <v>1194</v>
      </c>
      <c r="K50">
        <v>0.825</v>
      </c>
      <c r="L50" t="s">
        <v>418</v>
      </c>
      <c r="M50">
        <v>0.42</v>
      </c>
      <c r="O50" t="s">
        <v>418</v>
      </c>
      <c r="P50">
        <v>0.875</v>
      </c>
    </row>
    <row r="51">
      <c r="B51" t="s">
        <v>31</v>
      </c>
      <c r="C51">
        <v>2</v>
      </c>
    </row>
    <row r="53">
      <c r="D53" t="s">
        <v>126</v>
      </c>
      <c r="E53">
        <v>0.483</v>
      </c>
      <c r="G53" t="s">
        <v>418</v>
      </c>
      <c r="H53">
        <v>0.825</v>
      </c>
      <c r="J53" t="s">
        <v>1195</v>
      </c>
      <c r="K53">
        <v>0.528</v>
      </c>
    </row>
    <row r="54">
      <c r="K54">
        <v>2</v>
      </c>
    </row>
    <row r="55">
      <c r="B55" t="s">
        <v>31</v>
      </c>
      <c r="C55">
        <v>0.048</v>
      </c>
      <c r="D55" t="s">
        <v>126</v>
      </c>
      <c r="E55">
        <v>0.164</v>
      </c>
    </row>
    <row r="57">
      <c r="B57" t="s">
        <v>31</v>
      </c>
      <c r="C57">
        <v>0.21</v>
      </c>
      <c r="D57" t="s">
        <v>868</v>
      </c>
    </row>
    <row r="58">
      <c r="C58" t="s">
        <v>1196</v>
      </c>
    </row>
    <row r="60">
      <c r="B60" t="s">
        <v>31</v>
      </c>
      <c r="D60">
        <v>1.07</v>
      </c>
      <c r="E60" t="s">
        <v>126</v>
      </c>
      <c r="F60">
        <v>0.21</v>
      </c>
    </row>
    <row r="61"/>
    <row r="62">
      <c r="B62" t="s">
        <v>31</v>
      </c>
      <c r="D62">
        <v>1.28</v>
      </c>
      <c r="E62" t="s">
        <v>868</v>
      </c>
      <c r="F62" t="s">
        <v>31</v>
      </c>
      <c r="G62">
        <f>D62*10</f>
        <v>12.8</v>
      </c>
      <c r="H62" t="s">
        <v>301</v>
      </c>
    </row>
    <row r="63" ht="21" customHeight="1">
      <c r="B63" t="s">
        <v>1197</v>
      </c>
      <c r="D63" t="s">
        <v>31</v>
      </c>
      <c r="E63">
        <v>3.16</v>
      </c>
      <c r="G63" t="s">
        <v>418</v>
      </c>
      <c r="H63" t="s">
        <v>1198</v>
      </c>
    </row>
    <row r="64">
      <c r="F64">
        <v>30</v>
      </c>
      <c r="G64" t="s">
        <v>418</v>
      </c>
      <c r="H64">
        <v>100</v>
      </c>
    </row>
    <row r="65" ht="14.25" customHeight="1">
      <c r="D65" t="s">
        <v>31</v>
      </c>
      <c r="E65">
        <f>1.26*25/30</f>
        <v>1.05</v>
      </c>
      <c r="G65" t="s">
        <v>1199</v>
      </c>
    </row>
    <row r="68" ht="14.25" customHeight="1">
      <c r="B68" t="s">
        <v>1200</v>
      </c>
      <c r="D68" t="s">
        <v>31</v>
      </c>
      <c r="E68">
        <v>1.28</v>
      </c>
      <c r="G68" t="s">
        <v>418</v>
      </c>
      <c r="H68" t="s">
        <v>1198</v>
      </c>
    </row>
    <row r="69" ht="14.25" customHeight="1">
      <c r="E69">
        <v>1</v>
      </c>
      <c r="F69" t="s">
        <v>418</v>
      </c>
      <c r="G69">
        <v>100</v>
      </c>
      <c r="H69" t="s">
        <v>418</v>
      </c>
      <c r="I69" t="s">
        <v>1201</v>
      </c>
    </row>
    <row r="70">
      <c r="E70">
        <v>6</v>
      </c>
    </row>
    <row r="72" ht="14.25" customHeight="1">
      <c r="D72" t="s">
        <v>31</v>
      </c>
      <c r="E72" s="1">
        <f>1280/(100*900/6)</f>
        <v>0.08533333333333333</v>
      </c>
      <c r="G72" t="s">
        <v>1199</v>
      </c>
    </row>
    <row r="74">
      <c r="B74" t="s">
        <v>1202</v>
      </c>
    </row>
    <row r="75"/>
    <row r="76" ht="14.25" customHeight="1">
      <c r="B76" t="s">
        <v>1203</v>
      </c>
      <c r="G76">
        <v>67</v>
      </c>
      <c r="H76" t="s">
        <v>1199</v>
      </c>
    </row>
    <row r="79">
      <c r="B79" t="s">
        <v>1204</v>
      </c>
    </row>
    <row r="80" ht="14.25" customHeight="1">
      <c r="C80" t="s">
        <v>306</v>
      </c>
      <c r="D80" t="s">
        <v>31</v>
      </c>
      <c r="E80">
        <v>50</v>
      </c>
      <c r="F80" t="s">
        <v>1199</v>
      </c>
    </row>
    <row r="83">
      <c r="B83" t="s">
        <v>31</v>
      </c>
      <c r="D83">
        <v>1.05</v>
      </c>
      <c r="E83" t="s">
        <v>126</v>
      </c>
      <c r="F83">
        <v>0.09</v>
      </c>
      <c r="H83" t="s">
        <v>999</v>
      </c>
      <c r="I83">
        <v>1</v>
      </c>
    </row>
    <row r="84">
      <c r="D84">
        <v>50</v>
      </c>
      <c r="F84">
        <v>67</v>
      </c>
    </row>
    <row r="86">
      <c r="B86" t="s">
        <v>31</v>
      </c>
      <c r="D86">
        <f>1.05/50</f>
        <v>0.021</v>
      </c>
      <c r="E86" t="s">
        <v>126</v>
      </c>
      <c r="F86" s="2">
        <f>0.09/67</f>
        <v>0.0013432835820895521</v>
      </c>
      <c r="H86" t="s">
        <v>999</v>
      </c>
      <c r="I86">
        <v>1</v>
      </c>
    </row>
    <row r="87"/>
    <row r="88">
      <c r="B88" t="s">
        <v>31</v>
      </c>
      <c r="D88">
        <v>0.022</v>
      </c>
      <c r="H88" t="s">
        <v>999</v>
      </c>
      <c r="I88">
        <v>1</v>
      </c>
      <c r="K88" t="s">
        <v>1205</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1206</v>
      </c>
    </row>
    <row r="2">
      <c r="A2" t="s">
        <v>1207</v>
      </c>
      <c r="B2">
        <v>925</v>
      </c>
      <c r="C2" t="s">
        <v>208</v>
      </c>
    </row>
    <row r="3">
      <c r="A3" t="s">
        <v>1208</v>
      </c>
      <c r="B3">
        <v>75</v>
      </c>
      <c r="C3" t="s">
        <v>208</v>
      </c>
    </row>
    <row r="4">
      <c r="A4" t="s">
        <v>1209</v>
      </c>
      <c r="B4">
        <v>25</v>
      </c>
      <c r="C4" t="s">
        <v>208</v>
      </c>
    </row>
    <row r="5">
      <c r="A5" t="s">
        <v>1210</v>
      </c>
      <c r="B5">
        <v>25</v>
      </c>
      <c r="C5" t="s">
        <v>208</v>
      </c>
    </row>
    <row r="6">
      <c r="A6" t="s">
        <v>1211</v>
      </c>
      <c r="B6">
        <f>B2</f>
        <v>925</v>
      </c>
      <c r="C6" t="s">
        <v>114</v>
      </c>
      <c r="D6">
        <f>B5</f>
        <v>25</v>
      </c>
      <c r="E6" t="s">
        <v>114</v>
      </c>
      <c r="F6">
        <f>B5</f>
        <v>25</v>
      </c>
      <c r="G6" t="s">
        <v>938</v>
      </c>
      <c r="H6">
        <f>B2-B5-B4/2</f>
        <v>887.5</v>
      </c>
      <c r="I6" t="s">
        <v>208</v>
      </c>
    </row>
    <row r="7">
      <c r="A7" t="s">
        <v>1212</v>
      </c>
      <c r="B7">
        <v>10</v>
      </c>
      <c r="C7" t="s">
        <v>63</v>
      </c>
    </row>
    <row r="8">
      <c r="A8" t="s">
        <v>1213</v>
      </c>
    </row>
    <row r="9">
      <c r="A9" t="s">
        <v>1214</v>
      </c>
      <c r="B9">
        <f>B2/1000</f>
        <v>0.925</v>
      </c>
      <c r="C9" t="s">
        <v>69</v>
      </c>
      <c r="D9">
        <v>2.4</v>
      </c>
      <c r="E9" t="s">
        <v>31</v>
      </c>
      <c r="F9">
        <f>B9*D9</f>
        <v>2.22</v>
      </c>
      <c r="G9" t="s">
        <v>1215</v>
      </c>
    </row>
    <row r="10">
      <c r="A10" t="s">
        <v>1216</v>
      </c>
      <c r="B10">
        <v>0.075</v>
      </c>
      <c r="C10" t="s">
        <v>69</v>
      </c>
      <c r="D10">
        <v>2.4</v>
      </c>
      <c r="E10" t="s">
        <v>31</v>
      </c>
      <c r="F10">
        <f>B10*D10</f>
        <v>0.18</v>
      </c>
      <c r="G10" t="s">
        <v>1215</v>
      </c>
    </row>
    <row r="11">
      <c r="A11" t="s">
        <v>1217</v>
      </c>
      <c r="F11">
        <f>SUM(F9:F10)</f>
        <v>2.4000000000000004</v>
      </c>
      <c r="G11" t="s">
        <v>1215</v>
      </c>
    </row>
    <row r="12">
      <c r="A12" t="s">
        <v>1218</v>
      </c>
      <c r="B12" t="s">
        <f>CONCATENATE(F11,"x",B7,"x",B7,"/8 =")</f>
        <v>1219</v>
      </c>
      <c r="F12" s="1">
        <f>F11*B7^2/8</f>
        <v>30.000000000000004</v>
      </c>
      <c r="G12" t="s">
        <v>868</v>
      </c>
    </row>
    <row r="13"/>
    <row r="14">
      <c r="A14" t="s">
        <v>559</v>
      </c>
    </row>
    <row r="15">
      <c r="A15" t="s">
        <v>560</v>
      </c>
    </row>
    <row r="16">
      <c r="A16" t="s">
        <v>561</v>
      </c>
    </row>
    <row r="17">
      <c r="A17" t="s">
        <v>563</v>
      </c>
    </row>
    <row r="18">
      <c r="A18" t="s">
        <f>CONCATENATE("= ",3.6,"+2(",B3/1000,"+",B2/1000,")=")</f>
        <v>1220</v>
      </c>
      <c r="B18" t="s">
        <v>31</v>
      </c>
      <c r="C18" s="1">
        <f>3.6+(B2+B3)/500</f>
        <v>5.6</v>
      </c>
      <c r="D18" t="s">
        <v>63</v>
      </c>
    </row>
    <row r="19"/>
    <row r="20">
      <c r="A20" t="s">
        <v>566</v>
      </c>
    </row>
    <row r="21">
      <c r="A21" t="s">
        <v>1221</v>
      </c>
    </row>
    <row r="22">
      <c r="A22" t="s">
        <v>1222</v>
      </c>
    </row>
    <row r="23">
      <c r="B23" t="s">
        <v>570</v>
      </c>
    </row>
    <row r="24">
      <c r="B24" t="s">
        <v>571</v>
      </c>
    </row>
    <row r="25">
      <c r="B25" t="s">
        <v>572</v>
      </c>
    </row>
    <row r="26">
      <c r="B26" t="s">
        <v>573</v>
      </c>
    </row>
    <row r="27">
      <c r="B27" t="s">
        <v>574</v>
      </c>
    </row>
    <row r="28">
      <c r="A28" t="s">
        <v>1223</v>
      </c>
    </row>
    <row r="29">
      <c r="A29" t="s">
        <v>1224</v>
      </c>
      <c r="B29" t="s">
        <v>31</v>
      </c>
      <c r="C29" s="1">
        <v>7.5</v>
      </c>
      <c r="D29" t="s">
        <v>63</v>
      </c>
    </row>
    <row r="30">
      <c r="A30" t="s">
        <v>1225</v>
      </c>
      <c r="B30" t="s">
        <v>31</v>
      </c>
      <c r="C30" s="1">
        <v>10</v>
      </c>
      <c r="D30" t="s">
        <v>63</v>
      </c>
    </row>
    <row r="31">
      <c r="A31" t="s">
        <v>1226</v>
      </c>
      <c r="B31" t="s">
        <v>31</v>
      </c>
      <c r="C31">
        <f>ROUND(C29/C30,2)</f>
        <v>0.75</v>
      </c>
    </row>
    <row r="32">
      <c r="A32" t="s">
        <v>1227</v>
      </c>
      <c r="B32" t="s">
        <v>564</v>
      </c>
      <c r="C32">
        <v>2.4</v>
      </c>
    </row>
    <row r="33">
      <c r="A33" t="s">
        <v>1228</v>
      </c>
      <c r="B33" t="s">
        <v>1229</v>
      </c>
      <c r="D33" s="1">
        <v>1</v>
      </c>
      <c r="E33" t="s">
        <v>63</v>
      </c>
    </row>
    <row r="34">
      <c r="A34" t="s">
        <v>69</v>
      </c>
      <c r="B34" t="s">
        <v>31</v>
      </c>
      <c r="C34" t="s">
        <v>1230</v>
      </c>
      <c r="D34" t="s">
        <v>31</v>
      </c>
      <c r="E34" s="1">
        <f>C30</f>
        <v>10</v>
      </c>
      <c r="F34" t="s">
        <v>938</v>
      </c>
      <c r="G34" s="1">
        <f>E34/2</f>
        <v>5</v>
      </c>
      <c r="H34" t="s">
        <v>63</v>
      </c>
    </row>
    <row r="35">
      <c r="A35" t="s">
        <v>1231</v>
      </c>
      <c r="B35" t="s">
        <v>31</v>
      </c>
      <c r="C35" s="1">
        <f>C32*(1-G34/C30)+D33</f>
        <v>2.2</v>
      </c>
      <c r="D35" t="s">
        <v>63</v>
      </c>
    </row>
    <row r="36">
      <c r="A36" t="s">
        <v>588</v>
      </c>
    </row>
    <row r="37">
      <c r="A37" t="s">
        <v>589</v>
      </c>
    </row>
    <row r="38">
      <c r="A38" t="s">
        <v>1232</v>
      </c>
    </row>
    <row r="39">
      <c r="A39" t="s">
        <v>1233</v>
      </c>
    </row>
    <row r="40">
      <c r="B40" t="s">
        <v>1234</v>
      </c>
    </row>
    <row r="41">
      <c r="A41" t="s">
        <v>1235</v>
      </c>
      <c r="H41">
        <f>1.925+3.825</f>
        <v>5.75</v>
      </c>
    </row>
    <row r="43">
      <c r="A43" t="s">
        <v>1236</v>
      </c>
      <c r="B43" t="s">
        <v>31</v>
      </c>
      <c r="C43">
        <f>2.05+1.93+2.8</f>
        <v>6.779999999999999</v>
      </c>
      <c r="D43" t="s">
        <v>70</v>
      </c>
    </row>
    <row r="44">
      <c r="A44" t="s">
        <v>598</v>
      </c>
    </row>
    <row r="45">
      <c r="A45" t="s">
        <v>1237</v>
      </c>
      <c r="B45" t="s">
        <v>1238</v>
      </c>
    </row>
    <row r="46">
      <c r="B46" t="s">
        <v>31</v>
      </c>
      <c r="C46">
        <f>ROUNDUP(70*1.1375,2)</f>
        <v>79.63000000000001</v>
      </c>
      <c r="D46" t="s">
        <v>608</v>
      </c>
    </row>
    <row r="47">
      <c r="A47" t="s">
        <v>1239</v>
      </c>
      <c r="B47" t="s">
        <v>31</v>
      </c>
      <c r="C47">
        <f>C46</f>
        <v>79.63000000000001</v>
      </c>
      <c r="D47" t="s">
        <v>1240</v>
      </c>
      <c r="E47" s="1">
        <f>C35</f>
        <v>2.2</v>
      </c>
      <c r="F47" t="s">
        <v>69</v>
      </c>
      <c r="G47" s="1">
        <f>C43</f>
        <v>6.779999999999999</v>
      </c>
      <c r="H47" t="s">
        <v>1241</v>
      </c>
    </row>
    <row r="48">
      <c r="B48" t="s">
        <v>31</v>
      </c>
      <c r="C48">
        <f>ROUND(C46/(E47*G47),2)</f>
        <v>5.34</v>
      </c>
      <c r="D48" t="s">
        <v>608</v>
      </c>
    </row>
    <row r="49">
      <c r="A49" t="s">
        <v>610</v>
      </c>
    </row>
    <row r="51">
      <c r="A51" t="s">
        <v>1242</v>
      </c>
    </row>
    <row r="53">
      <c r="A53" t="s">
        <v>1243</v>
      </c>
      <c r="B53">
        <v>5.6</v>
      </c>
      <c r="C53" t="s">
        <v>1244</v>
      </c>
      <c r="D53">
        <v>5.6</v>
      </c>
      <c r="E53" t="s">
        <v>83</v>
      </c>
    </row>
    <row r="54">
      <c r="B54">
        <v>2</v>
      </c>
      <c r="D54">
        <v>5</v>
      </c>
    </row>
    <row r="55"/>
    <row r="56">
      <c r="A56" t="s">
        <v>1245</v>
      </c>
      <c r="B56" s="1">
        <f>ROUND(C48*C18/2*(C30-C18/5),2)</f>
        <v>132.77</v>
      </c>
      <c r="C56" t="s">
        <v>1246</v>
      </c>
    </row>
    <row r="57">
      <c r="A57" t="s">
        <v>1247</v>
      </c>
    </row>
    <row r="59">
      <c r="A59" t="s">
        <v>1248</v>
      </c>
    </row>
    <row r="60">
      <c r="A60" t="s">
        <v>1249</v>
      </c>
    </row>
    <row r="62">
      <c r="A62" t="s">
        <v>611</v>
      </c>
    </row>
    <row r="63">
      <c r="A63" t="s">
        <v>612</v>
      </c>
      <c r="B63" t="s">
        <v>613</v>
      </c>
    </row>
    <row r="64"/>
    <row r="65">
      <c r="A65" t="s">
        <v>1250</v>
      </c>
      <c r="B65" t="s">
        <v>615</v>
      </c>
    </row>
    <row r="66"/>
    <row r="67">
      <c r="A67" t="s">
        <v>1251</v>
      </c>
      <c r="B67" t="s">
        <v>617</v>
      </c>
    </row>
    <row r="68"/>
    <row r="69">
      <c r="A69" t="s">
        <v>618</v>
      </c>
      <c r="B69" t="s">
        <v>619</v>
      </c>
    </row>
    <row r="70"/>
    <row r="71">
      <c r="A71" t="s">
        <v>620</v>
      </c>
      <c r="B71" t="s">
        <v>621</v>
      </c>
      <c r="C71" t="s">
        <v>622</v>
      </c>
    </row>
    <row r="72">
      <c r="A72" t="s">
        <v>623</v>
      </c>
    </row>
    <row r="73">
      <c r="A73" t="s">
        <v>1252</v>
      </c>
      <c r="B73" t="s">
        <v>31</v>
      </c>
      <c r="C73">
        <v>1.8</v>
      </c>
      <c r="D73" t="s">
        <v>63</v>
      </c>
    </row>
    <row r="75">
      <c r="A75" t="s">
        <v>1253</v>
      </c>
    </row>
    <row r="76">
      <c r="A76" t="s">
        <v>626</v>
      </c>
    </row>
    <row r="78">
      <c r="A78" t="s">
        <v>627</v>
      </c>
      <c r="D78" t="s">
        <v>628</v>
      </c>
    </row>
    <row r="79">
      <c r="A79" t="s">
        <v>629</v>
      </c>
      <c r="D79" t="s">
        <v>630</v>
      </c>
    </row>
    <row r="80"/>
    <row r="81">
      <c r="A81" t="s">
        <v>1254</v>
      </c>
      <c r="C81" t="s">
        <v>126</v>
      </c>
      <c r="D81">
        <v>1.8</v>
      </c>
    </row>
    <row r="82"/>
    <row r="83">
      <c r="A83" t="s">
        <v>1255</v>
      </c>
      <c r="B83" t="s">
        <v>633</v>
      </c>
    </row>
    <row r="84">
      <c r="A84" t="s">
        <v>1256</v>
      </c>
    </row>
    <row r="86">
      <c r="A86" t="s">
        <v>1257</v>
      </c>
    </row>
    <row r="88">
      <c r="A88" t="s">
        <v>1258</v>
      </c>
    </row>
    <row r="89"/>
    <row r="90">
      <c r="A90" t="s">
        <v>1259</v>
      </c>
    </row>
    <row r="91"/>
    <row r="92">
      <c r="A92" t="s">
        <v>1260</v>
      </c>
      <c r="B92" t="s">
        <v>1261</v>
      </c>
      <c r="C92" t="s">
        <v>1262</v>
      </c>
    </row>
    <row r="93">
      <c r="J93">
        <f>(2.4*4)*(1-4/8)</f>
        <v>4.8</v>
      </c>
    </row>
    <row r="94">
      <c r="A94" t="s">
        <v>1263</v>
      </c>
      <c r="B94" t="s">
        <v>1264</v>
      </c>
      <c r="D94" t="s">
        <v>1265</v>
      </c>
    </row>
    <row r="95"/>
    <row r="96">
      <c r="A96" t="s">
        <v>1266</v>
      </c>
      <c r="B96" t="s">
        <v>1267</v>
      </c>
      <c r="E96">
        <v>0.45</v>
      </c>
      <c r="F96" t="s">
        <v>70</v>
      </c>
    </row>
    <row r="98">
      <c r="A98" t="s">
        <v>1268</v>
      </c>
      <c r="B98" t="s">
        <v>61</v>
      </c>
      <c r="C98">
        <f>2.4*G34*(1-G34/C30)+E96</f>
        <v>6.45</v>
      </c>
      <c r="D98" t="s">
        <v>70</v>
      </c>
      <c r="F98" t="s">
        <v>1269</v>
      </c>
    </row>
    <row r="100">
      <c r="A100" t="s">
        <v>1270</v>
      </c>
    </row>
    <row r="102">
      <c r="A102" t="s">
        <v>1271</v>
      </c>
    </row>
    <row r="104">
      <c r="A104" t="s">
        <v>1272</v>
      </c>
    </row>
    <row r="106">
      <c r="A106" t="s">
        <v>1273</v>
      </c>
    </row>
    <row r="107">
      <c r="A107" t="s">
        <v>1274</v>
      </c>
    </row>
    <row r="108">
      <c r="A108" t="s">
        <v>1275</v>
      </c>
    </row>
    <row r="109">
      <c r="A109" t="s">
        <v>1276</v>
      </c>
    </row>
    <row r="111">
      <c r="A111" t="s">
        <v>1277</v>
      </c>
      <c r="B111" t="s">
        <v>1278</v>
      </c>
      <c r="C111" t="s">
        <v>1279</v>
      </c>
      <c r="E111">
        <v>6.45</v>
      </c>
    </row>
    <row r="112">
      <c r="B112">
        <v>2</v>
      </c>
      <c r="E112">
        <v>2</v>
      </c>
    </row>
    <row r="114">
      <c r="A114" t="s">
        <v>1277</v>
      </c>
      <c r="B114" t="s">
        <v>1280</v>
      </c>
    </row>
    <row r="116">
      <c r="A116" t="s">
        <v>31</v>
      </c>
      <c r="B116">
        <f>2.2+3.225+1.655</f>
        <v>7.080000000000001</v>
      </c>
      <c r="C116" t="s">
        <v>63</v>
      </c>
    </row>
    <row r="117">
      <c r="A117" t="s">
        <v>1281</v>
      </c>
    </row>
    <row r="118">
      <c r="A118" t="s">
        <v>1282</v>
      </c>
      <c r="B118" t="s">
        <v>587</v>
      </c>
      <c r="C118">
        <v>1.25</v>
      </c>
    </row>
    <row r="119">
      <c r="A119" t="s">
        <v>1283</v>
      </c>
    </row>
    <row r="120">
      <c r="A120" t="s">
        <v>1284</v>
      </c>
    </row>
    <row r="121">
      <c r="A121" t="s">
        <v>1285</v>
      </c>
    </row>
    <row r="122"/>
    <row r="123">
      <c r="A123" t="s">
        <v>1286</v>
      </c>
      <c r="C123" t="s">
        <v>1287</v>
      </c>
    </row>
    <row r="124">
      <c r="C124" t="s">
        <v>1288</v>
      </c>
    </row>
    <row r="125">
      <c r="A125" t="s">
        <v>1245</v>
      </c>
      <c r="B125" t="s">
        <v>1289</v>
      </c>
    </row>
    <row r="126">
      <c r="B126" t="s">
        <v>1290</v>
      </c>
    </row>
    <row r="127"/>
    <row r="128">
      <c r="A128" t="s">
        <v>1245</v>
      </c>
      <c r="B128">
        <f>ROUND(50/(3*B116),2)</f>
        <v>2.35</v>
      </c>
      <c r="C128" t="s">
        <v>603</v>
      </c>
    </row>
    <row r="129">
      <c r="A129" t="s">
        <v>1270</v>
      </c>
    </row>
    <row r="130">
      <c r="A130" t="s">
        <v>1291</v>
      </c>
    </row>
    <row r="131">
      <c r="A131" t="s">
        <v>1292</v>
      </c>
      <c r="B131">
        <v>7.08</v>
      </c>
      <c r="C131" t="s">
        <v>1244</v>
      </c>
      <c r="D131">
        <v>7.08</v>
      </c>
      <c r="E131" t="s">
        <v>83</v>
      </c>
    </row>
    <row r="132">
      <c r="B132">
        <v>2</v>
      </c>
      <c r="D132">
        <v>5</v>
      </c>
    </row>
    <row r="133"/>
    <row r="134">
      <c r="A134" t="s">
        <v>1245</v>
      </c>
      <c r="B134" s="1">
        <f>B128*B116/2*(C30-B116/G34)</f>
        <v>71.410296</v>
      </c>
      <c r="C134" t="s">
        <v>1246</v>
      </c>
    </row>
    <row r="136">
      <c r="A136" t="s">
        <v>1293</v>
      </c>
      <c r="B136" t="s">
        <v>1294</v>
      </c>
    </row>
    <row r="137">
      <c r="A137">
        <v>2</v>
      </c>
      <c r="B137">
        <v>2</v>
      </c>
    </row>
    <row r="139">
      <c r="A139" t="s">
        <v>31</v>
      </c>
    </row>
    <row r="140">
      <c r="A140" t="s">
        <v>1295</v>
      </c>
    </row>
    <row r="141">
      <c r="A141" t="s">
        <v>1296</v>
      </c>
      <c r="C141" s="1">
        <f>B56</f>
        <v>132.77</v>
      </c>
      <c r="D141" t="s">
        <v>1246</v>
      </c>
    </row>
    <row r="142">
      <c r="A142" t="s">
        <v>1297</v>
      </c>
      <c r="C142" t="s">
        <v>1298</v>
      </c>
    </row>
    <row r="143">
      <c r="B143" t="s">
        <v>1260</v>
      </c>
      <c r="C143" s="1">
        <f>F12</f>
        <v>30.000000000000004</v>
      </c>
      <c r="D143" t="s">
        <v>126</v>
      </c>
      <c r="E143" s="1">
        <f>C141</f>
        <v>132.77</v>
      </c>
    </row>
    <row r="144">
      <c r="B144" t="s">
        <v>1260</v>
      </c>
      <c r="C144">
        <f>C143+E143</f>
        <v>162.77</v>
      </c>
      <c r="D144" t="s">
        <v>868</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A3"/>
  <sheetViews>
    <sheetView workbookViewId="0" rightToLeft="0"/>
  </sheetViews>
  <sheetData>
    <row r="1" ht="30" customHeight="1">
      <c r="A1" t="s">
        <v>1355</v>
      </c>
    </row>
    <row r="2" ht="30" customHeight="1"/>
    <row r="3" ht="30" customHeight="1">
      <c r="A3" t="s">
        <v>1388</v>
      </c>
    </row>
  </sheetData>
  <pageMargins left="0.7086614173228347" right="0.7086614173228347" top="0.7480314960629921" bottom="0.7480314960629921" header="0.31496062992125984" footer="0.31496062992125984"/>
  <ignoredErrors>
    <ignoredError numberStoredAsText="1" sqref="A1:A3"/>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1389</v>
      </c>
    </row>
    <row r="2" ht="12.75" customHeight="1"/>
    <row r="3" ht="25.5" customHeight="1">
      <c r="A3">
        <v>1</v>
      </c>
      <c r="B3" t="s">
        <v>1390</v>
      </c>
      <c r="C3" t="s">
        <v>1391</v>
      </c>
      <c r="D3" t="s">
        <v>0</v>
      </c>
      <c r="E3">
        <v>0</v>
      </c>
      <c r="F3">
        <v>0</v>
      </c>
      <c r="G3">
        <v>0</v>
      </c>
      <c r="H3">
        <v>0</v>
      </c>
      <c r="I3">
        <v>0</v>
      </c>
      <c r="J3">
        <v>0</v>
      </c>
      <c r="K3">
        <v>0</v>
      </c>
    </row>
    <row r="4" ht="12.75" customHeight="1"/>
    <row r="5" ht="9.95" customHeight="1"/>
    <row r="6" ht="59.25" customHeight="1">
      <c r="A6">
        <v>2</v>
      </c>
      <c r="B6" t="s">
        <v>1392</v>
      </c>
      <c r="C6" t="s">
        <v>1391</v>
      </c>
    </row>
    <row r="7" ht="9.95" customHeight="1"/>
    <row r="8" ht="12.75" customHeight="1">
      <c r="A8">
        <v>3</v>
      </c>
      <c r="B8" t="s">
        <v>1393</v>
      </c>
      <c r="C8" t="s">
        <v>1391</v>
      </c>
    </row>
    <row r="9" ht="12.75" customHeight="1"/>
    <row r="10" ht="9.95" customHeight="1"/>
    <row r="11" ht="12.75" customHeight="1">
      <c r="A11">
        <v>4</v>
      </c>
      <c r="B11" t="s">
        <v>1394</v>
      </c>
      <c r="C11" t="s">
        <v>1391</v>
      </c>
      <c r="D11" t="s">
        <v>1395</v>
      </c>
    </row>
    <row r="12" ht="102" customHeight="1">
      <c r="D12" t="s">
        <v>1396</v>
      </c>
    </row>
    <row r="13" ht="12.75" customHeight="1"/>
    <row r="14" ht="25.5" customHeight="1">
      <c r="D14" t="s">
        <v>1397</v>
      </c>
    </row>
    <row r="15" ht="12.75" customHeight="1"/>
    <row r="16" ht="38.25" customHeight="1">
      <c r="D16" t="s">
        <v>1398</v>
      </c>
    </row>
    <row r="17" ht="12.75" customHeight="1"/>
    <row r="18" ht="51" customHeight="1">
      <c r="D18" t="s">
        <v>1399</v>
      </c>
    </row>
    <row r="19" ht="12.75" customHeight="1"/>
    <row r="20" ht="12.75" customHeight="1">
      <c r="D20" t="s">
        <v>1400</v>
      </c>
    </row>
    <row r="21" ht="12.75" customHeight="1"/>
    <row r="22" ht="25.5" customHeight="1">
      <c r="D22" t="s">
        <v>1401</v>
      </c>
    </row>
    <row r="23" ht="12.75" customHeight="1"/>
    <row r="24" ht="51" customHeight="1">
      <c r="D24" t="s">
        <v>1402</v>
      </c>
    </row>
    <row r="25" ht="12.75" customHeight="1"/>
    <row r="26" ht="38.25" customHeight="1">
      <c r="D26" t="s">
        <v>1403</v>
      </c>
    </row>
    <row r="27" ht="12.75" customHeight="1"/>
    <row r="28" ht="38.25" customHeight="1">
      <c r="D28" t="s">
        <v>1404</v>
      </c>
    </row>
    <row r="29" ht="12.75" customHeight="1"/>
    <row r="30" ht="51" customHeight="1">
      <c r="D30" t="s">
        <v>1405</v>
      </c>
    </row>
    <row r="31" ht="12.75" customHeight="1"/>
    <row r="32" ht="38.25" customHeight="1">
      <c r="D32" t="s">
        <v>1406</v>
      </c>
    </row>
    <row r="33" ht="12.75" customHeight="1"/>
    <row r="34" ht="25.5" customHeight="1">
      <c r="D34" t="s">
        <v>1407</v>
      </c>
    </row>
    <row r="35" ht="12.75" customHeight="1"/>
    <row r="36" ht="12.75" customHeight="1"/>
    <row r="37" ht="12.75" customHeight="1"/>
    <row r="38" ht="12.75" customHeight="1">
      <c r="A38">
        <v>5</v>
      </c>
      <c r="B38" t="s">
        <v>1408</v>
      </c>
      <c r="C38" t="s">
        <v>1391</v>
      </c>
      <c r="D38" s="1" t="s">
        <v>1409</v>
      </c>
    </row>
    <row r="39" ht="9.95" customHeight="1"/>
    <row r="40" ht="9.95" customHeight="1"/>
    <row r="41" ht="12.75" customHeight="1">
      <c r="A41">
        <v>6</v>
      </c>
      <c r="B41" t="s">
        <v>1410</v>
      </c>
      <c r="C41" t="s">
        <v>1391</v>
      </c>
      <c r="D41" t="s">
        <v>1411</v>
      </c>
    </row>
    <row r="42" ht="9.95" customHeight="1"/>
    <row r="43" ht="12.75" customHeight="1">
      <c r="A43">
        <v>7</v>
      </c>
      <c r="B43" t="s">
        <v>1412</v>
      </c>
      <c r="C43" t="s">
        <v>1391</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1413</v>
      </c>
    </row>
    <row r="3" ht="20.25" customHeight="1">
      <c r="A3" t="s">
        <v>1414</v>
      </c>
    </row>
    <row r="4" ht="18.75" customHeight="1"/>
    <row r="5" ht="15.75" customHeight="1">
      <c r="A5" t="s">
        <v>1415</v>
      </c>
    </row>
    <row r="6" ht="38.25" customHeight="1">
      <c r="B6" t="s">
        <v>0</v>
      </c>
    </row>
    <row r="7" ht="15" customHeight="1">
      <c r="A7" t="s">
        <v>1416</v>
      </c>
      <c r="B7" t="s">
        <v>1417</v>
      </c>
      <c r="G7" t="s">
        <v>1418</v>
      </c>
    </row>
    <row r="8" ht="9.95" customHeight="1"/>
    <row r="9" ht="21.95" customHeight="1">
      <c r="A9">
        <v>1</v>
      </c>
      <c r="B9" t="s">
        <v>1419</v>
      </c>
      <c r="G9" s="1">
        <v>100003890</v>
      </c>
    </row>
    <row r="10" ht="9.95" customHeight="1"/>
    <row r="11" ht="18.75" customHeight="1">
      <c r="E11" t="s">
        <v>1420</v>
      </c>
      <c r="G11" s="1">
        <v>100003890</v>
      </c>
    </row>
    <row r="12" ht="8.1" customHeight="1"/>
    <row r="13" ht="15" customHeight="1">
      <c r="B13" t="s">
        <v>1421</v>
      </c>
      <c r="G13" s="1">
        <v>1000039</v>
      </c>
    </row>
    <row r="14" ht="9.95" customHeight="1"/>
    <row r="15" hidden="1" ht="15" customHeight="1">
      <c r="B15" t="s">
        <v>1422</v>
      </c>
      <c r="G15" s="1">
        <v>0</v>
      </c>
    </row>
    <row r="16" hidden="1" ht="9.95" customHeight="1"/>
    <row r="17" ht="15" customHeight="1">
      <c r="B17" t="s">
        <v>1423</v>
      </c>
      <c r="G17" s="1">
        <v>1500058</v>
      </c>
    </row>
    <row r="18" ht="9.95" customHeight="1"/>
    <row r="19" ht="15.75" customHeight="1">
      <c r="F19" s="1" t="s">
        <v>1424</v>
      </c>
      <c r="G19" s="1">
        <v>102503987</v>
      </c>
    </row>
    <row r="20" ht="8.1" customHeight="1"/>
    <row r="21" ht="15" customHeight="1">
      <c r="B21" t="s">
        <v>1425</v>
      </c>
      <c r="G21" s="1">
        <v>13325518</v>
      </c>
    </row>
    <row r="22" ht="9.95" customHeight="1"/>
    <row r="23" ht="15.75" customHeight="1">
      <c r="F23" s="1" t="s">
        <v>1424</v>
      </c>
      <c r="G23" s="1">
        <v>115829505</v>
      </c>
    </row>
    <row r="24" ht="15.75" customHeight="1"/>
    <row r="25" ht="15.75" customHeight="1">
      <c r="F25" s="1" t="s">
        <v>1426</v>
      </c>
      <c r="G25" s="1">
        <v>1158.3</v>
      </c>
    </row>
    <row r="26" ht="15.75" customHeight="1">
      <c r="G26" s="1" t="s">
        <v>1427</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1428</v>
      </c>
    </row>
    <row r="2" ht="16.5" customHeight="1">
      <c r="A2" t="s">
        <v>1415</v>
      </c>
    </row>
    <row r="3" ht="38.25" customHeight="1">
      <c r="B3" t="s">
        <v>0</v>
      </c>
    </row>
    <row r="4" ht="15.75" customHeight="1">
      <c r="A4" t="s">
        <v>1429</v>
      </c>
      <c r="B4" t="s">
        <v>4</v>
      </c>
      <c r="C4" t="s">
        <v>1430</v>
      </c>
      <c r="E4" t="s">
        <v>1431</v>
      </c>
      <c r="F4" t="s">
        <v>1432</v>
      </c>
      <c r="G4" t="s">
        <v>1418</v>
      </c>
    </row>
    <row r="5" ht="15.75" customHeight="1"/>
    <row r="6" ht="90" customHeight="1">
      <c r="A6" t="s">
        <v>1433</v>
      </c>
      <c r="B6" t="s">
        <v>1434</v>
      </c>
      <c r="J6" s="1">
        <v>116</v>
      </c>
    </row>
    <row r="7" ht="15.75" customHeight="1">
      <c r="B7" t="s">
        <v>1435</v>
      </c>
      <c r="C7" s="1">
        <v>787.9176410366445</v>
      </c>
      <c r="D7" t="s">
        <v>1436</v>
      </c>
    </row>
    <row r="8" ht="15.75" customHeight="1">
      <c r="B8" t="s">
        <v>1437</v>
      </c>
      <c r="C8" s="1">
        <v>2100</v>
      </c>
      <c r="D8" t="s">
        <v>1436</v>
      </c>
    </row>
    <row r="9" ht="15.75" customHeight="1">
      <c r="C9" s="1">
        <v>2887.9176410366445</v>
      </c>
      <c r="D9" t="s">
        <v>1438</v>
      </c>
      <c r="E9" s="1">
        <v>68</v>
      </c>
      <c r="F9" t="s">
        <v>1438</v>
      </c>
      <c r="G9" s="1">
        <v>196378.3995904918</v>
      </c>
    </row>
    <row r="10" ht="15.75" customHeight="1"/>
    <row r="11" ht="15.75" customHeight="1">
      <c r="A11" t="s">
        <v>1439</v>
      </c>
      <c r="B11" t="s">
        <v>1440</v>
      </c>
      <c r="J11" s="1">
        <v>116</v>
      </c>
    </row>
    <row r="12" ht="15.75" customHeight="1">
      <c r="B12" t="s">
        <v>1435</v>
      </c>
      <c r="C12" s="1">
        <v>984.8970512958056</v>
      </c>
      <c r="D12" t="s">
        <v>1436</v>
      </c>
      <c r="E12" s="1">
        <v>80</v>
      </c>
      <c r="F12" t="s">
        <v>1438</v>
      </c>
      <c r="G12" s="1">
        <v>78791.76410366445</v>
      </c>
    </row>
    <row r="13" ht="15.75" customHeight="1"/>
    <row r="14" ht="30" customHeight="1">
      <c r="A14" t="s">
        <v>1441</v>
      </c>
      <c r="B14" t="s">
        <v>1442</v>
      </c>
      <c r="J14" s="1">
        <v>146</v>
      </c>
    </row>
    <row r="15" ht="15.75" customHeight="1">
      <c r="B15" t="s">
        <v>1435</v>
      </c>
      <c r="C15" s="1">
        <v>2072.8146923324502</v>
      </c>
      <c r="D15" t="s">
        <v>1438</v>
      </c>
    </row>
    <row r="16" ht="15.75" customHeight="1">
      <c r="B16" t="s">
        <v>1437</v>
      </c>
      <c r="C16" s="1">
        <v>1610</v>
      </c>
      <c r="D16" t="s">
        <v>1438</v>
      </c>
    </row>
    <row r="17" ht="15.75" customHeight="1">
      <c r="C17" s="1">
        <v>3682.8146923324502</v>
      </c>
      <c r="D17" t="s">
        <v>1438</v>
      </c>
      <c r="E17" s="1">
        <v>103</v>
      </c>
      <c r="F17" t="s">
        <v>1438</v>
      </c>
      <c r="G17" s="1">
        <v>379329.91331024235</v>
      </c>
    </row>
    <row r="18" ht="15.75" customHeight="1"/>
    <row r="19" ht="15.75" customHeight="1">
      <c r="A19" t="s">
        <v>1443</v>
      </c>
      <c r="B19" t="s">
        <v>1444</v>
      </c>
      <c r="J19" s="1">
        <v>273</v>
      </c>
    </row>
    <row r="20" ht="15.75" customHeight="1">
      <c r="B20" t="s">
        <v>1435</v>
      </c>
      <c r="C20" s="1">
        <v>2072.8146923324502</v>
      </c>
      <c r="D20" t="s">
        <v>1438</v>
      </c>
      <c r="E20" s="1">
        <v>364</v>
      </c>
      <c r="F20" t="s">
        <v>1438</v>
      </c>
      <c r="G20" s="1">
        <v>754504.5480090119</v>
      </c>
    </row>
    <row r="21" ht="15.75" customHeight="1"/>
    <row r="22" ht="30" customHeight="1">
      <c r="A22">
        <v>5</v>
      </c>
      <c r="B22" t="s">
        <v>1445</v>
      </c>
      <c r="J22" s="1">
        <v>3005</v>
      </c>
    </row>
    <row r="23" ht="15.75" customHeight="1">
      <c r="B23" t="s">
        <v>1446</v>
      </c>
    </row>
    <row r="24" ht="15.75" customHeight="1">
      <c r="B24" t="s">
        <v>1435</v>
      </c>
      <c r="C24" s="1">
        <v>1185.3472797620166</v>
      </c>
      <c r="D24" t="s">
        <v>1438</v>
      </c>
      <c r="E24" s="1">
        <v>3863</v>
      </c>
      <c r="F24" t="s">
        <v>1438</v>
      </c>
      <c r="G24" s="1">
        <v>4578996.54172067</v>
      </c>
    </row>
    <row r="25" ht="15.75" customHeight="1"/>
    <row r="26" ht="15.75" customHeight="1">
      <c r="A26">
        <v>6</v>
      </c>
      <c r="B26" t="s">
        <v>1447</v>
      </c>
      <c r="J26" s="1">
        <v>3455</v>
      </c>
    </row>
    <row r="27" ht="15.75" customHeight="1">
      <c r="B27" t="s">
        <v>1448</v>
      </c>
    </row>
    <row r="28" ht="15.75" customHeight="1">
      <c r="B28" t="s">
        <v>1435</v>
      </c>
      <c r="C28" s="1">
        <v>282.50358335460896</v>
      </c>
      <c r="D28" t="s">
        <v>1438</v>
      </c>
    </row>
    <row r="29" ht="15.75" customHeight="1">
      <c r="B29" t="s">
        <v>1437</v>
      </c>
      <c r="C29" s="1">
        <v>394.5</v>
      </c>
      <c r="D29" t="s">
        <v>1438</v>
      </c>
    </row>
    <row r="30" ht="15.75" customHeight="1">
      <c r="C30" s="1">
        <v>677.003583354609</v>
      </c>
      <c r="D30" t="s">
        <v>1438</v>
      </c>
      <c r="E30" s="1">
        <v>4356</v>
      </c>
      <c r="F30" t="s">
        <v>1438</v>
      </c>
      <c r="G30" s="1">
        <v>2949027.6090926765</v>
      </c>
    </row>
    <row r="31" ht="15.75" customHeight="1"/>
    <row r="32" ht="15.75" customHeight="1">
      <c r="A32">
        <v>7</v>
      </c>
      <c r="B32" t="s">
        <v>1449</v>
      </c>
      <c r="J32" s="1">
        <v>3995</v>
      </c>
    </row>
    <row r="33" ht="15.75" customHeight="1">
      <c r="B33" t="s">
        <v>1448</v>
      </c>
    </row>
    <row r="34" ht="15.75" customHeight="1">
      <c r="B34" t="s">
        <v>1435</v>
      </c>
      <c r="C34" s="1">
        <v>1191.9603888751612</v>
      </c>
      <c r="D34" t="s">
        <v>1438</v>
      </c>
    </row>
    <row r="35" ht="15.75" customHeight="1">
      <c r="B35" t="s">
        <v>1437</v>
      </c>
      <c r="C35" s="1">
        <v>372</v>
      </c>
      <c r="D35" t="s">
        <v>1438</v>
      </c>
    </row>
    <row r="36" ht="15.75" customHeight="1">
      <c r="C36" s="1">
        <v>1563.9603888751612</v>
      </c>
      <c r="D36" t="s">
        <v>1438</v>
      </c>
      <c r="E36" s="1">
        <v>4708</v>
      </c>
      <c r="F36" t="s">
        <v>1438</v>
      </c>
      <c r="G36" s="1">
        <v>7363125.510824259</v>
      </c>
    </row>
    <row r="37" ht="15.75" customHeight="1"/>
    <row r="38" ht="60" customHeight="1">
      <c r="A38">
        <v>8</v>
      </c>
      <c r="B38" t="s">
        <v>1450</v>
      </c>
      <c r="J38" s="1">
        <v>64397</v>
      </c>
    </row>
    <row r="39" ht="15.75" customHeight="1">
      <c r="B39" t="s">
        <v>1435</v>
      </c>
      <c r="C39" s="1">
        <v>140.35333579005024</v>
      </c>
      <c r="D39" t="s">
        <v>866</v>
      </c>
    </row>
    <row r="40" ht="15.75" customHeight="1">
      <c r="B40" t="s">
        <v>1437</v>
      </c>
      <c r="C40" s="1">
        <v>43.803</v>
      </c>
      <c r="D40" t="s">
        <v>866</v>
      </c>
    </row>
    <row r="41" ht="15.75" customHeight="1">
      <c r="C41" s="1">
        <v>184.15633579005024</v>
      </c>
      <c r="D41" t="s">
        <v>866</v>
      </c>
      <c r="E41" s="1">
        <v>85000</v>
      </c>
      <c r="F41" t="s">
        <v>866</v>
      </c>
      <c r="G41" s="1">
        <v>15653288.54215427</v>
      </c>
    </row>
    <row r="42" ht="15.75" customHeight="1"/>
    <row r="43" ht="105" customHeight="1">
      <c r="A43">
        <v>9</v>
      </c>
      <c r="B43" t="s">
        <v>1451</v>
      </c>
      <c r="J43" s="1">
        <v>4380</v>
      </c>
    </row>
    <row r="44" ht="15.75" customHeight="1">
      <c r="B44" t="s">
        <v>1452</v>
      </c>
      <c r="C44" s="1">
        <v>1448.8565456000026</v>
      </c>
      <c r="D44" t="s">
        <v>1438</v>
      </c>
    </row>
    <row r="45" ht="15.75" customHeight="1">
      <c r="B45" t="s">
        <v>1437</v>
      </c>
      <c r="C45" s="1">
        <v>810</v>
      </c>
      <c r="D45" t="s">
        <v>1438</v>
      </c>
    </row>
    <row r="46" ht="15.75" customHeight="1">
      <c r="C46" s="1">
        <v>2258.8565456000024</v>
      </c>
      <c r="D46" t="s">
        <v>1438</v>
      </c>
      <c r="E46" s="1">
        <v>4596</v>
      </c>
      <c r="F46" t="s">
        <v>1438</v>
      </c>
      <c r="G46" s="1">
        <v>10381704.68357761</v>
      </c>
    </row>
    <row r="47" ht="15.75" customHeight="1"/>
    <row r="48" ht="30" customHeight="1">
      <c r="A48">
        <v>10</v>
      </c>
      <c r="B48" t="s">
        <v>1453</v>
      </c>
      <c r="J48" s="1">
        <v>64478</v>
      </c>
    </row>
    <row r="49" ht="15.75" customHeight="1">
      <c r="B49" t="s">
        <v>1452</v>
      </c>
      <c r="C49" s="1">
        <v>164.91609630292032</v>
      </c>
      <c r="D49" t="s">
        <v>866</v>
      </c>
    </row>
    <row r="50" ht="15.75" customHeight="1">
      <c r="B50" t="s">
        <v>1437</v>
      </c>
      <c r="C50" s="1">
        <v>95.3775</v>
      </c>
      <c r="D50" t="s">
        <v>866</v>
      </c>
    </row>
    <row r="51" ht="15.75" customHeight="1">
      <c r="C51" s="1">
        <v>260.2935963029203</v>
      </c>
      <c r="D51" t="s">
        <v>866</v>
      </c>
      <c r="E51" s="1">
        <v>85000</v>
      </c>
      <c r="F51" t="s">
        <v>866</v>
      </c>
      <c r="G51" s="1">
        <v>22124955.685748227</v>
      </c>
    </row>
    <row r="52" ht="15.75" customHeight="1"/>
    <row r="53" ht="75" customHeight="1">
      <c r="A53">
        <v>11</v>
      </c>
      <c r="B53" t="s">
        <v>1454</v>
      </c>
      <c r="J53" s="1">
        <v>90</v>
      </c>
    </row>
    <row r="54" ht="15.75" customHeight="1">
      <c r="B54" t="s">
        <v>1452</v>
      </c>
      <c r="C54" s="1">
        <v>200.39999999999998</v>
      </c>
      <c r="D54" t="s">
        <v>1455</v>
      </c>
    </row>
    <row r="55" ht="15.75" customHeight="1">
      <c r="B55" t="s">
        <v>1437</v>
      </c>
      <c r="C55" s="1">
        <v>390</v>
      </c>
      <c r="D55" t="s">
        <v>1455</v>
      </c>
    </row>
    <row r="56" ht="15.75" customHeight="1">
      <c r="C56" s="1">
        <v>590.4</v>
      </c>
      <c r="D56" t="s">
        <v>1455</v>
      </c>
      <c r="E56" s="1">
        <v>129</v>
      </c>
      <c r="F56" t="s">
        <v>1455</v>
      </c>
      <c r="G56" s="1">
        <v>76161.59999999999</v>
      </c>
    </row>
    <row r="57" ht="15.75" customHeight="1"/>
    <row r="58" ht="60" customHeight="1">
      <c r="A58">
        <v>12</v>
      </c>
      <c r="B58" t="s">
        <v>1456</v>
      </c>
      <c r="J58" s="1">
        <v>320</v>
      </c>
    </row>
    <row r="59" ht="15.75" customHeight="1">
      <c r="B59" t="s">
        <v>1452</v>
      </c>
      <c r="C59" s="1">
        <v>487.2</v>
      </c>
      <c r="D59" t="s">
        <v>1438</v>
      </c>
    </row>
    <row r="60" ht="15.75" customHeight="1">
      <c r="B60" t="s">
        <v>1437</v>
      </c>
      <c r="C60" s="1">
        <v>975</v>
      </c>
      <c r="D60" t="s">
        <v>1438</v>
      </c>
    </row>
    <row r="61" ht="15.75" customHeight="1">
      <c r="C61" s="1">
        <v>1462.2</v>
      </c>
      <c r="D61" t="s">
        <v>1438</v>
      </c>
      <c r="E61" s="1">
        <v>548</v>
      </c>
      <c r="F61" t="s">
        <v>1438</v>
      </c>
      <c r="G61" s="1">
        <v>801285.6</v>
      </c>
    </row>
    <row r="62" ht="15.75" customHeight="1"/>
    <row r="63" ht="120" customHeight="1">
      <c r="A63">
        <v>13</v>
      </c>
      <c r="B63" t="s">
        <v>1457</v>
      </c>
      <c r="J63" s="1">
        <v>516</v>
      </c>
    </row>
    <row r="64" ht="15.75" customHeight="1">
      <c r="B64" t="s">
        <v>1452</v>
      </c>
      <c r="C64" s="1">
        <v>83.52</v>
      </c>
      <c r="D64" t="s">
        <v>1438</v>
      </c>
    </row>
    <row r="65" ht="15.75" customHeight="1">
      <c r="B65" t="s">
        <v>1437</v>
      </c>
      <c r="C65" s="1">
        <v>487.5</v>
      </c>
      <c r="D65" t="s">
        <v>1438</v>
      </c>
    </row>
    <row r="66" ht="15.75" customHeight="1">
      <c r="C66" s="1">
        <v>571.02</v>
      </c>
      <c r="D66" t="s">
        <v>1438</v>
      </c>
      <c r="E66" s="1">
        <v>793</v>
      </c>
      <c r="F66" t="s">
        <v>1438</v>
      </c>
      <c r="G66" s="1">
        <v>452818.86</v>
      </c>
    </row>
    <row r="67" ht="15.75" customHeight="1"/>
    <row r="68" ht="75" customHeight="1">
      <c r="A68">
        <v>14</v>
      </c>
      <c r="B68" t="s">
        <v>1458</v>
      </c>
      <c r="J68" s="1">
        <v>5190</v>
      </c>
    </row>
    <row r="69" ht="15.75" customHeight="1">
      <c r="B69" t="s">
        <v>1459</v>
      </c>
      <c r="C69" s="1">
        <v>1700.1633739839742</v>
      </c>
      <c r="D69" t="s">
        <v>1438</v>
      </c>
      <c r="E69" s="1">
        <v>5625</v>
      </c>
      <c r="F69" t="s">
        <v>1438</v>
      </c>
      <c r="G69" s="1">
        <v>9563418.978659855</v>
      </c>
    </row>
    <row r="70" ht="15.75" customHeight="1"/>
    <row r="71" ht="45" customHeight="1">
      <c r="A71">
        <v>15</v>
      </c>
      <c r="B71" t="s">
        <v>1460</v>
      </c>
      <c r="J71" s="1">
        <v>65429</v>
      </c>
    </row>
    <row r="72" ht="15.75" customHeight="1">
      <c r="B72" t="s">
        <v>1459</v>
      </c>
      <c r="C72" s="1">
        <v>203.72423728661298</v>
      </c>
      <c r="D72" t="s">
        <v>866</v>
      </c>
      <c r="E72" s="1">
        <v>85000</v>
      </c>
      <c r="F72" t="s">
        <v>866</v>
      </c>
      <c r="G72" s="1">
        <v>17316560.1693621</v>
      </c>
    </row>
    <row r="73" ht="15.75" customHeight="1"/>
    <row r="74" ht="45" customHeight="1">
      <c r="A74">
        <v>16</v>
      </c>
      <c r="B74" t="s">
        <v>1461</v>
      </c>
      <c r="J74" s="1">
        <v>8395</v>
      </c>
    </row>
    <row r="75" ht="15.75" customHeight="1">
      <c r="B75" t="s">
        <v>1459</v>
      </c>
      <c r="C75" s="1">
        <v>139.65118005740948</v>
      </c>
      <c r="D75" t="s">
        <v>1438</v>
      </c>
      <c r="E75" s="1">
        <v>8743</v>
      </c>
      <c r="F75" t="s">
        <v>1438</v>
      </c>
      <c r="G75" s="1">
        <v>1220970.267241931</v>
      </c>
    </row>
    <row r="76" ht="15.75" customHeight="1"/>
    <row r="77" ht="30" customHeight="1">
      <c r="A77">
        <v>17</v>
      </c>
      <c r="B77" t="s">
        <v>1462</v>
      </c>
      <c r="J77" s="1">
        <v>3010</v>
      </c>
    </row>
    <row r="78" ht="15.75" customHeight="1">
      <c r="B78" t="s">
        <v>1459</v>
      </c>
      <c r="C78" s="1">
        <v>7.56</v>
      </c>
      <c r="D78" t="s">
        <v>1438</v>
      </c>
    </row>
    <row r="79" ht="15.75" customHeight="1">
      <c r="B79" t="s">
        <v>1437</v>
      </c>
      <c r="C79" s="1">
        <v>123.75</v>
      </c>
      <c r="D79" t="s">
        <v>1438</v>
      </c>
    </row>
    <row r="80" ht="15.75" customHeight="1">
      <c r="C80" s="1">
        <v>131.31</v>
      </c>
      <c r="D80" t="s">
        <v>1438</v>
      </c>
      <c r="E80" s="1">
        <v>2949</v>
      </c>
      <c r="F80" t="s">
        <v>1438</v>
      </c>
      <c r="G80" s="1">
        <v>387233.19</v>
      </c>
    </row>
    <row r="81" ht="15.75" customHeight="1"/>
    <row r="82" ht="45" customHeight="1">
      <c r="A82">
        <v>18</v>
      </c>
      <c r="B82" t="s">
        <v>1463</v>
      </c>
      <c r="J82" s="1">
        <v>7075</v>
      </c>
    </row>
    <row r="83" ht="15.75" customHeight="1">
      <c r="B83" t="s">
        <v>1459</v>
      </c>
      <c r="C83" s="1">
        <v>27.152999999999995</v>
      </c>
      <c r="D83" t="s">
        <v>1438</v>
      </c>
      <c r="E83" s="1">
        <v>7863</v>
      </c>
      <c r="F83" t="s">
        <v>1438</v>
      </c>
      <c r="G83" s="1">
        <v>213504.03899999996</v>
      </c>
    </row>
    <row r="84" ht="15.75" customHeight="1"/>
    <row r="85" ht="45" customHeight="1">
      <c r="A85">
        <v>19</v>
      </c>
      <c r="B85" t="s">
        <v>1464</v>
      </c>
      <c r="J85" s="1">
        <v>795.6</v>
      </c>
    </row>
    <row r="86" ht="15.75" customHeight="1">
      <c r="B86" t="s">
        <v>1459</v>
      </c>
      <c r="C86" s="1">
        <v>157.49278116533117</v>
      </c>
      <c r="D86" t="s">
        <v>180</v>
      </c>
      <c r="E86" s="1">
        <v>1263</v>
      </c>
      <c r="F86" t="s">
        <v>180</v>
      </c>
      <c r="G86" s="1">
        <v>198913.38261181326</v>
      </c>
    </row>
    <row r="87" ht="15.75" customHeight="1"/>
    <row r="88" ht="75" customHeight="1">
      <c r="A88">
        <v>20</v>
      </c>
      <c r="B88" t="s">
        <v>1465</v>
      </c>
      <c r="J88" s="1">
        <v>590</v>
      </c>
    </row>
    <row r="89" ht="15.75" customHeight="1">
      <c r="B89" t="s">
        <v>1459</v>
      </c>
      <c r="C89" s="1">
        <v>182.39999999999998</v>
      </c>
      <c r="D89" t="s">
        <v>180</v>
      </c>
      <c r="E89" s="1">
        <v>248</v>
      </c>
      <c r="F89" t="s">
        <v>180</v>
      </c>
      <c r="G89" s="1">
        <v>45235.2</v>
      </c>
    </row>
    <row r="90" ht="15.75" customHeight="1"/>
    <row r="91" ht="105" customHeight="1">
      <c r="A91">
        <v>21</v>
      </c>
      <c r="B91" t="s">
        <v>1466</v>
      </c>
      <c r="J91" s="1">
        <v>3005</v>
      </c>
    </row>
    <row r="92" ht="15.75" customHeight="1">
      <c r="B92" t="s">
        <v>1437</v>
      </c>
      <c r="C92" s="1">
        <v>2033.3999999999999</v>
      </c>
      <c r="D92" t="s">
        <v>1438</v>
      </c>
      <c r="E92" s="1">
        <v>33</v>
      </c>
      <c r="F92" t="s">
        <v>1438</v>
      </c>
      <c r="G92" s="1">
        <v>67102.2</v>
      </c>
    </row>
    <row r="93" ht="15.75" customHeight="1"/>
    <row r="94" ht="105" customHeight="1">
      <c r="A94">
        <v>22</v>
      </c>
      <c r="B94" t="s">
        <v>1467</v>
      </c>
      <c r="J94" s="1">
        <v>3005</v>
      </c>
    </row>
    <row r="95" ht="15.75" customHeight="1">
      <c r="B95" t="s">
        <v>1437</v>
      </c>
      <c r="C95" s="1">
        <v>1355.6000000000001</v>
      </c>
      <c r="D95" t="s">
        <v>1438</v>
      </c>
      <c r="E95" s="1">
        <v>44</v>
      </c>
      <c r="F95" t="s">
        <v>1438</v>
      </c>
      <c r="G95" s="1">
        <v>59646.40000000001</v>
      </c>
    </row>
    <row r="96" ht="15.75" customHeight="1"/>
    <row r="97" ht="225" customHeight="1">
      <c r="A97">
        <v>23</v>
      </c>
      <c r="B97" t="s">
        <v>1468</v>
      </c>
      <c r="I97">
        <v>6.4</v>
      </c>
    </row>
    <row r="98" ht="15.75" customHeight="1">
      <c r="C98" s="1">
        <v>360</v>
      </c>
      <c r="D98" t="s">
        <v>1438</v>
      </c>
      <c r="E98" s="1">
        <v>5454</v>
      </c>
      <c r="F98" t="s">
        <v>1438</v>
      </c>
      <c r="G98" s="1">
        <v>1963440</v>
      </c>
    </row>
    <row r="99" ht="15.75" customHeight="1"/>
    <row r="100" ht="105" customHeight="1">
      <c r="A100">
        <v>24</v>
      </c>
      <c r="B100" t="s">
        <v>1469</v>
      </c>
      <c r="I100">
        <v>6.4</v>
      </c>
    </row>
    <row r="101" ht="15.75" customHeight="1">
      <c r="C101" s="1">
        <v>0</v>
      </c>
      <c r="D101" t="s">
        <v>70</v>
      </c>
      <c r="E101" s="1">
        <v>1747</v>
      </c>
      <c r="F101" t="s">
        <v>70</v>
      </c>
      <c r="G101" s="1" t="s">
        <v>1</v>
      </c>
    </row>
    <row r="102" ht="255" customHeight="1">
      <c r="A102" s="4">
        <v>25</v>
      </c>
      <c r="B102" t="s">
        <v>1470</v>
      </c>
      <c r="C102">
        <v>2</v>
      </c>
      <c r="D102" t="s">
        <v>216</v>
      </c>
      <c r="E102">
        <v>8300</v>
      </c>
      <c r="F102" t="s">
        <v>1471</v>
      </c>
      <c r="G102" s="1">
        <v>16600</v>
      </c>
    </row>
    <row r="103" ht="121.5" customHeight="1">
      <c r="A103" s="4">
        <v>26</v>
      </c>
      <c r="B103" t="s">
        <v>1472</v>
      </c>
      <c r="C103">
        <v>3</v>
      </c>
      <c r="D103" t="s">
        <v>216</v>
      </c>
      <c r="E103">
        <v>3300</v>
      </c>
      <c r="F103" t="s">
        <v>1471</v>
      </c>
      <c r="G103" s="1">
        <v>9900</v>
      </c>
    </row>
    <row r="104" ht="135" customHeight="1">
      <c r="A104">
        <v>27</v>
      </c>
      <c r="B104" t="s">
        <v>1473</v>
      </c>
      <c r="C104">
        <v>6</v>
      </c>
      <c r="D104" t="s">
        <v>216</v>
      </c>
      <c r="E104">
        <v>2269</v>
      </c>
      <c r="F104" t="s">
        <v>1471</v>
      </c>
      <c r="G104" s="1">
        <v>13614</v>
      </c>
    </row>
    <row r="105" ht="135" customHeight="1">
      <c r="A105" s="4">
        <v>28</v>
      </c>
      <c r="B105" t="s">
        <v>1474</v>
      </c>
      <c r="C105">
        <v>6</v>
      </c>
      <c r="D105" t="s">
        <v>216</v>
      </c>
      <c r="E105">
        <v>1894</v>
      </c>
      <c r="F105" t="s">
        <v>1471</v>
      </c>
      <c r="G105" s="1">
        <v>11364</v>
      </c>
    </row>
    <row r="106" ht="330" customHeight="1">
      <c r="A106" s="4">
        <v>29</v>
      </c>
      <c r="B106" t="s">
        <v>1475</v>
      </c>
      <c r="C106">
        <v>400</v>
      </c>
      <c r="D106" t="s">
        <v>216</v>
      </c>
      <c r="E106">
        <v>185.61</v>
      </c>
      <c r="F106" t="s">
        <v>1471</v>
      </c>
      <c r="G106" s="1">
        <v>74244</v>
      </c>
    </row>
    <row r="107" ht="120" customHeight="1">
      <c r="A107" s="4">
        <v>30</v>
      </c>
      <c r="B107" t="s">
        <v>1476</v>
      </c>
      <c r="C107" s="1">
        <v>500.17499999999995</v>
      </c>
      <c r="D107" t="s">
        <v>1477</v>
      </c>
      <c r="E107">
        <v>559</v>
      </c>
      <c r="F107" t="s">
        <v>1478</v>
      </c>
      <c r="G107" s="1">
        <v>279597.82499999995</v>
      </c>
    </row>
    <row r="108" ht="60" customHeight="1">
      <c r="A108" s="4">
        <v>31</v>
      </c>
      <c r="B108" t="s">
        <v>1479</v>
      </c>
      <c r="C108" s="1">
        <v>160.99689437998487</v>
      </c>
      <c r="D108" t="s">
        <v>1480</v>
      </c>
      <c r="E108">
        <v>908</v>
      </c>
      <c r="F108" t="s">
        <v>1481</v>
      </c>
      <c r="G108" s="1">
        <v>146185.18009702626</v>
      </c>
    </row>
    <row r="109" ht="105" customHeight="1">
      <c r="A109" s="4">
        <v>32</v>
      </c>
      <c r="B109" t="s">
        <v>1482</v>
      </c>
      <c r="C109" s="1">
        <v>2641.4953415699774</v>
      </c>
      <c r="D109" t="s">
        <v>1480</v>
      </c>
      <c r="E109">
        <v>844</v>
      </c>
      <c r="F109" t="s">
        <v>1481</v>
      </c>
      <c r="G109" s="1">
        <v>2229422.068285061</v>
      </c>
    </row>
    <row r="110" ht="60" customHeight="1">
      <c r="A110" s="4">
        <v>33</v>
      </c>
      <c r="B110" t="s">
        <v>1483</v>
      </c>
      <c r="C110" s="1">
        <v>30</v>
      </c>
      <c r="D110" t="s">
        <v>1484</v>
      </c>
      <c r="E110">
        <v>5087</v>
      </c>
      <c r="F110" t="s">
        <v>1485</v>
      </c>
      <c r="G110" s="1">
        <v>152610</v>
      </c>
    </row>
    <row r="111" ht="60" customHeight="1">
      <c r="A111" s="4">
        <v>34</v>
      </c>
      <c r="B111" t="s">
        <v>1486</v>
      </c>
      <c r="C111" s="1">
        <v>30</v>
      </c>
      <c r="D111" t="s">
        <v>1484</v>
      </c>
      <c r="E111">
        <v>3272</v>
      </c>
      <c r="F111" t="s">
        <v>1485</v>
      </c>
      <c r="G111" s="1">
        <v>98160</v>
      </c>
    </row>
    <row r="112" ht="60" customHeight="1">
      <c r="A112" s="4">
        <v>35</v>
      </c>
      <c r="B112" t="s">
        <v>1487</v>
      </c>
      <c r="C112" s="1">
        <v>120</v>
      </c>
      <c r="D112" t="s">
        <v>1484</v>
      </c>
      <c r="E112">
        <v>1215</v>
      </c>
      <c r="F112" t="s">
        <v>1485</v>
      </c>
      <c r="G112" s="1">
        <v>145800</v>
      </c>
    </row>
    <row r="113" ht="15.75" customHeight="1">
      <c r="F113" t="s">
        <v>1488</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1489</v>
      </c>
    </row>
    <row r="2" ht="16.5" customHeight="1">
      <c r="A2" t="s">
        <v>1415</v>
      </c>
    </row>
    <row r="3" ht="16.5" customHeight="1">
      <c r="B3" t="s">
        <v>0</v>
      </c>
    </row>
    <row r="4"/>
    <row r="5">
      <c r="A5" t="s">
        <v>1429</v>
      </c>
      <c r="B5" t="s">
        <v>4</v>
      </c>
      <c r="C5" t="s">
        <v>4</v>
      </c>
      <c r="D5" t="s">
        <v>1490</v>
      </c>
    </row>
    <row r="6"/>
    <row r="7">
      <c r="C7" t="s">
        <v>1491</v>
      </c>
    </row>
    <row r="8"/>
    <row r="9">
      <c r="C9" t="s">
        <v>1492</v>
      </c>
    </row>
    <row r="10" ht="135" customHeight="1">
      <c r="A10">
        <v>1</v>
      </c>
      <c r="B10" t="s">
        <v>1493</v>
      </c>
      <c r="C10" t="s">
        <v>1434</v>
      </c>
    </row>
    <row r="11" ht="30" customHeight="1">
      <c r="A11">
        <v>1</v>
      </c>
      <c r="B11" t="s">
        <v>1493</v>
      </c>
      <c r="C11" t="s">
        <v>1494</v>
      </c>
    </row>
    <row r="12">
      <c r="C12" t="s">
        <v>274</v>
      </c>
      <c r="D12">
        <v>11</v>
      </c>
      <c r="E12" s="1">
        <v>16.62496433541477</v>
      </c>
      <c r="F12" s="1">
        <v>4.33</v>
      </c>
      <c r="G12" s="1">
        <v>0.8</v>
      </c>
      <c r="H12" s="1">
        <v>633.4776410366444</v>
      </c>
      <c r="I12" s="1" t="s">
        <v>1438</v>
      </c>
    </row>
    <row r="13">
      <c r="C13" t="s">
        <v>1495</v>
      </c>
      <c r="D13">
        <v>2</v>
      </c>
      <c r="E13" s="1">
        <v>14.3</v>
      </c>
      <c r="F13" s="1">
        <v>6.75</v>
      </c>
      <c r="G13" s="1">
        <v>0.8</v>
      </c>
      <c r="H13" s="1">
        <v>154.44000000000003</v>
      </c>
      <c r="I13" s="1" t="s">
        <v>1438</v>
      </c>
    </row>
    <row r="14">
      <c r="G14" s="1" t="s">
        <v>1496</v>
      </c>
      <c r="H14" s="1">
        <v>787.9176410366445</v>
      </c>
      <c r="I14" s="1" t="s">
        <v>1438</v>
      </c>
    </row>
    <row r="15"/>
    <row r="16" ht="180" customHeight="1">
      <c r="A16">
        <v>2</v>
      </c>
      <c r="B16" t="s">
        <v>1497</v>
      </c>
      <c r="C16" t="s">
        <v>1498</v>
      </c>
    </row>
    <row r="17">
      <c r="C17" t="s">
        <v>1499</v>
      </c>
      <c r="D17">
        <v>11</v>
      </c>
      <c r="E17" s="1">
        <v>16.62496433541477</v>
      </c>
      <c r="F17" s="1">
        <v>4.33</v>
      </c>
      <c r="G17" s="1">
        <v>1</v>
      </c>
      <c r="H17" s="1">
        <v>791.8470512958055</v>
      </c>
      <c r="I17" s="1" t="s">
        <v>1438</v>
      </c>
    </row>
    <row r="18">
      <c r="C18" t="s">
        <v>1495</v>
      </c>
      <c r="D18">
        <v>2</v>
      </c>
      <c r="E18" s="1">
        <v>14.3</v>
      </c>
      <c r="F18" s="1">
        <v>6.75</v>
      </c>
      <c r="G18" s="1">
        <v>1</v>
      </c>
      <c r="H18" s="1">
        <v>193.05</v>
      </c>
      <c r="I18" s="1" t="s">
        <v>1438</v>
      </c>
    </row>
    <row r="19">
      <c r="G19" s="1" t="s">
        <v>1496</v>
      </c>
      <c r="H19" s="1">
        <v>984.8970512958056</v>
      </c>
      <c r="I19" s="1" t="s">
        <v>1438</v>
      </c>
    </row>
    <row r="20"/>
    <row r="21" ht="180" customHeight="1">
      <c r="A21">
        <v>3</v>
      </c>
      <c r="B21" t="s">
        <v>1500</v>
      </c>
      <c r="C21" t="s">
        <v>1501</v>
      </c>
    </row>
    <row r="22">
      <c r="C22" t="s">
        <v>1499</v>
      </c>
      <c r="D22">
        <v>11</v>
      </c>
      <c r="E22" s="1">
        <v>16.62496433541477</v>
      </c>
      <c r="F22" s="1">
        <v>4.33</v>
      </c>
      <c r="G22" s="1">
        <v>1.8</v>
      </c>
      <c r="H22" s="1">
        <v>1425.32469233245</v>
      </c>
      <c r="I22" s="1" t="s">
        <v>1438</v>
      </c>
    </row>
    <row r="23">
      <c r="C23" t="s">
        <v>1495</v>
      </c>
      <c r="D23">
        <v>2</v>
      </c>
      <c r="E23" s="1">
        <v>14.3</v>
      </c>
      <c r="F23" s="1">
        <v>6.75</v>
      </c>
      <c r="G23" s="1">
        <v>1.8</v>
      </c>
      <c r="H23" s="1">
        <v>347.49</v>
      </c>
      <c r="I23" s="1" t="s">
        <v>1438</v>
      </c>
    </row>
    <row r="24">
      <c r="C24" t="s">
        <v>1502</v>
      </c>
      <c r="D24">
        <v>12</v>
      </c>
      <c r="E24" s="1">
        <v>12.5</v>
      </c>
      <c r="F24" s="1">
        <v>1</v>
      </c>
      <c r="G24" s="1">
        <v>1</v>
      </c>
      <c r="H24" s="1">
        <v>150</v>
      </c>
      <c r="I24" s="1" t="s">
        <v>1438</v>
      </c>
    </row>
    <row r="25">
      <c r="C25" t="s">
        <v>1503</v>
      </c>
      <c r="D25">
        <v>12</v>
      </c>
      <c r="E25" s="1">
        <v>12.5</v>
      </c>
      <c r="F25" s="1">
        <v>1</v>
      </c>
      <c r="G25" s="1">
        <v>1</v>
      </c>
      <c r="H25" s="1">
        <v>150</v>
      </c>
      <c r="I25" s="1" t="s">
        <v>1438</v>
      </c>
    </row>
    <row r="26">
      <c r="G26" s="1" t="s">
        <v>1496</v>
      </c>
      <c r="H26" s="1">
        <v>2072.8146923324502</v>
      </c>
      <c r="I26" s="1" t="s">
        <v>1438</v>
      </c>
    </row>
    <row r="27"/>
    <row r="28" ht="165" customHeight="1">
      <c r="A28">
        <v>4</v>
      </c>
      <c r="B28" t="s">
        <v>1504</v>
      </c>
      <c r="C28" t="s">
        <v>1505</v>
      </c>
    </row>
    <row r="29">
      <c r="C29" t="s">
        <v>1499</v>
      </c>
      <c r="D29">
        <v>11</v>
      </c>
      <c r="E29" s="1">
        <v>16.62496433541477</v>
      </c>
      <c r="F29" s="1">
        <v>4.33</v>
      </c>
      <c r="G29" s="1">
        <v>1.8</v>
      </c>
      <c r="H29" s="1">
        <v>1425.32469233245</v>
      </c>
      <c r="I29" s="1" t="s">
        <v>1438</v>
      </c>
    </row>
    <row r="30">
      <c r="C30" t="s">
        <v>1495</v>
      </c>
      <c r="D30">
        <v>2</v>
      </c>
      <c r="E30" s="1">
        <v>14.3</v>
      </c>
      <c r="F30" s="1">
        <v>6.75</v>
      </c>
      <c r="G30" s="1">
        <v>1.8</v>
      </c>
      <c r="H30" s="1">
        <v>347.49</v>
      </c>
      <c r="I30" s="1" t="s">
        <v>1438</v>
      </c>
    </row>
    <row r="31">
      <c r="C31" t="s">
        <v>1502</v>
      </c>
      <c r="D31">
        <v>12</v>
      </c>
      <c r="E31" s="1">
        <v>12.5</v>
      </c>
      <c r="F31" s="1">
        <v>1</v>
      </c>
      <c r="G31" s="1">
        <v>1</v>
      </c>
      <c r="H31" s="1">
        <v>150</v>
      </c>
      <c r="I31" s="1" t="s">
        <v>1438</v>
      </c>
    </row>
    <row r="32">
      <c r="C32" t="s">
        <v>1503</v>
      </c>
      <c r="D32">
        <v>12</v>
      </c>
      <c r="E32" s="1">
        <v>12.5</v>
      </c>
      <c r="F32" s="1">
        <v>1</v>
      </c>
      <c r="G32" s="1">
        <v>1</v>
      </c>
      <c r="H32" s="1">
        <v>150</v>
      </c>
      <c r="I32" s="1" t="s">
        <v>1438</v>
      </c>
    </row>
    <row r="33">
      <c r="G33" s="1" t="s">
        <v>1496</v>
      </c>
      <c r="H33" s="1">
        <v>2072.8146923324502</v>
      </c>
      <c r="I33" s="1" t="s">
        <v>1438</v>
      </c>
    </row>
    <row r="34"/>
    <row r="35" ht="120" customHeight="1">
      <c r="A35">
        <v>5</v>
      </c>
      <c r="B35" t="s">
        <v>1506</v>
      </c>
      <c r="C35" t="s">
        <v>1507</v>
      </c>
    </row>
    <row r="36">
      <c r="C36" t="s">
        <v>274</v>
      </c>
      <c r="D36">
        <v>11</v>
      </c>
      <c r="E36" s="1">
        <v>16.62496433541477</v>
      </c>
      <c r="F36" s="1">
        <v>4.33</v>
      </c>
      <c r="G36" s="1">
        <v>1.8</v>
      </c>
      <c r="H36" s="1">
        <v>1425.32469233245</v>
      </c>
      <c r="I36" s="1" t="s">
        <v>1438</v>
      </c>
    </row>
    <row r="37">
      <c r="C37" t="s">
        <v>1495</v>
      </c>
      <c r="D37">
        <v>2</v>
      </c>
      <c r="E37" s="1">
        <v>14</v>
      </c>
      <c r="F37" s="1">
        <v>6.75</v>
      </c>
      <c r="G37" s="1">
        <v>1.8</v>
      </c>
      <c r="H37" s="1">
        <v>340.2</v>
      </c>
      <c r="I37" s="1" t="s">
        <v>1438</v>
      </c>
    </row>
    <row r="38">
      <c r="C38" t="s">
        <v>1508</v>
      </c>
      <c r="D38">
        <v>11</v>
      </c>
      <c r="E38" s="1">
        <v>41.909928670829544</v>
      </c>
      <c r="F38" s="1">
        <v>0.3</v>
      </c>
      <c r="G38" s="1">
        <v>1.8</v>
      </c>
      <c r="H38" s="1">
        <v>248.94497630472748</v>
      </c>
      <c r="I38" s="1" t="s">
        <v>1438</v>
      </c>
    </row>
    <row r="39">
      <c r="D39">
        <v>2</v>
      </c>
      <c r="E39" s="1">
        <v>42.1</v>
      </c>
      <c r="F39" s="1">
        <v>0.3</v>
      </c>
      <c r="G39" s="1">
        <v>1.3</v>
      </c>
      <c r="H39" s="1">
        <v>32.838</v>
      </c>
      <c r="I39" s="1" t="s">
        <v>1438</v>
      </c>
    </row>
    <row r="40">
      <c r="H40" s="1">
        <v>2047.3076686371776</v>
      </c>
      <c r="I40" s="1" t="s">
        <v>1438</v>
      </c>
    </row>
    <row r="41">
      <c r="C41" t="s">
        <v>1509</v>
      </c>
    </row>
    <row r="42"/>
    <row r="43">
      <c r="C43" t="s">
        <v>1510</v>
      </c>
      <c r="D43">
        <v>11</v>
      </c>
      <c r="E43" s="1">
        <v>16.32496433541477</v>
      </c>
      <c r="F43" s="1">
        <v>4.0048000000000075</v>
      </c>
      <c r="G43" s="1">
        <v>1</v>
      </c>
      <c r="H43" s="1">
        <v>719.1603888751612</v>
      </c>
      <c r="I43" s="1" t="s">
        <v>1438</v>
      </c>
    </row>
    <row r="44">
      <c r="C44" t="s">
        <v>1511</v>
      </c>
      <c r="D44">
        <v>2</v>
      </c>
      <c r="E44" s="1">
        <v>14</v>
      </c>
      <c r="F44" s="1">
        <v>5.1</v>
      </c>
      <c r="G44" s="1">
        <v>1</v>
      </c>
      <c r="H44" s="1">
        <v>142.79999999999998</v>
      </c>
      <c r="I44" s="1" t="s">
        <v>1438</v>
      </c>
    </row>
    <row r="45">
      <c r="H45" s="1">
        <v>861.9603888751611</v>
      </c>
      <c r="I45" s="1" t="s">
        <v>1438</v>
      </c>
    </row>
    <row r="46"/>
    <row r="47">
      <c r="G47" s="1" t="s">
        <v>1512</v>
      </c>
      <c r="H47" s="1">
        <v>1185.3472797620166</v>
      </c>
      <c r="I47" s="1" t="s">
        <v>1438</v>
      </c>
    </row>
    <row r="48"/>
    <row r="49" ht="120" customHeight="1">
      <c r="A49">
        <v>6</v>
      </c>
      <c r="B49" t="s">
        <v>1513</v>
      </c>
      <c r="C49" t="s">
        <v>1514</v>
      </c>
    </row>
    <row r="50">
      <c r="C50" t="s">
        <v>274</v>
      </c>
      <c r="D50">
        <v>11</v>
      </c>
      <c r="E50" s="1">
        <v>16.62496433541477</v>
      </c>
      <c r="F50" s="1">
        <v>4.304800000000007</v>
      </c>
      <c r="G50" s="1">
        <v>0.3</v>
      </c>
      <c r="H50" s="1">
        <v>236.17158335460897</v>
      </c>
      <c r="I50" s="1" t="s">
        <v>1438</v>
      </c>
    </row>
    <row r="51">
      <c r="C51" t="s">
        <v>1515</v>
      </c>
      <c r="D51">
        <v>2</v>
      </c>
      <c r="E51" s="1">
        <v>14.3</v>
      </c>
      <c r="F51" s="1">
        <v>5.3999999999999995</v>
      </c>
      <c r="G51" s="1">
        <v>0.3</v>
      </c>
      <c r="H51" s="1">
        <v>46.332</v>
      </c>
      <c r="I51" s="1" t="s">
        <v>1438</v>
      </c>
    </row>
    <row r="52"/>
    <row r="53">
      <c r="G53" s="1" t="s">
        <v>1496</v>
      </c>
      <c r="H53" s="1">
        <v>282.50358335460896</v>
      </c>
      <c r="I53" s="1" t="s">
        <v>1438</v>
      </c>
    </row>
    <row r="54"/>
    <row r="55" ht="120" customHeight="1">
      <c r="A55">
        <v>7</v>
      </c>
      <c r="B55" t="s">
        <v>1516</v>
      </c>
      <c r="C55" t="s">
        <v>1517</v>
      </c>
    </row>
    <row r="56">
      <c r="C56" t="s">
        <v>274</v>
      </c>
      <c r="D56">
        <v>11</v>
      </c>
      <c r="E56" s="1">
        <v>16.32496433541477</v>
      </c>
      <c r="F56" s="1">
        <v>4.0048000000000075</v>
      </c>
      <c r="G56" s="1">
        <v>1</v>
      </c>
      <c r="H56" s="1">
        <v>719.1603888751612</v>
      </c>
      <c r="I56" s="1" t="s">
        <v>1438</v>
      </c>
    </row>
    <row r="57">
      <c r="C57" t="s">
        <v>1518</v>
      </c>
      <c r="D57">
        <v>2</v>
      </c>
      <c r="E57" s="1">
        <v>14</v>
      </c>
      <c r="F57" s="1">
        <v>5.1</v>
      </c>
      <c r="G57" s="1">
        <v>1</v>
      </c>
      <c r="H57" s="1">
        <v>142.79999999999998</v>
      </c>
      <c r="I57" s="1" t="s">
        <v>1438</v>
      </c>
    </row>
    <row r="58">
      <c r="C58" t="s">
        <v>1519</v>
      </c>
      <c r="D58">
        <v>11</v>
      </c>
      <c r="E58" s="1">
        <v>12.5</v>
      </c>
      <c r="F58" s="1">
        <v>3</v>
      </c>
      <c r="G58" s="1">
        <v>0.3</v>
      </c>
      <c r="H58" s="1">
        <v>123.75</v>
      </c>
      <c r="I58" s="1" t="s">
        <v>1438</v>
      </c>
    </row>
    <row r="59">
      <c r="C59" t="s">
        <v>1520</v>
      </c>
      <c r="D59">
        <v>11</v>
      </c>
      <c r="E59" s="1">
        <v>12.5</v>
      </c>
      <c r="F59" s="1">
        <v>5</v>
      </c>
      <c r="G59" s="1">
        <v>0.3</v>
      </c>
      <c r="H59" s="1">
        <v>206.25</v>
      </c>
      <c r="I59" s="1" t="s">
        <v>1438</v>
      </c>
    </row>
    <row r="60">
      <c r="G60" s="1" t="s">
        <v>1496</v>
      </c>
      <c r="H60" s="1">
        <v>1191.9603888751612</v>
      </c>
      <c r="I60" s="1" t="s">
        <v>1438</v>
      </c>
    </row>
    <row r="61"/>
    <row r="62" ht="75" customHeight="1">
      <c r="A62">
        <v>8</v>
      </c>
      <c r="B62" t="s">
        <v>1521</v>
      </c>
      <c r="C62" t="s">
        <v>1522</v>
      </c>
    </row>
    <row r="63">
      <c r="C63" t="s">
        <v>1523</v>
      </c>
      <c r="D63" s="8">
        <v>0.015</v>
      </c>
      <c r="E63" s="1">
        <v>1191.9603888751612</v>
      </c>
      <c r="F63" s="1">
        <v>7850</v>
      </c>
      <c r="H63" s="1">
        <v>140.35333579005024</v>
      </c>
      <c r="I63" s="1" t="s">
        <v>866</v>
      </c>
    </row>
    <row r="64"/>
    <row r="65"/>
    <row r="66">
      <c r="C66" t="s">
        <v>1524</v>
      </c>
    </row>
    <row r="67"/>
    <row r="68" ht="120" customHeight="1">
      <c r="A68">
        <v>9</v>
      </c>
      <c r="B68" t="s">
        <v>1525</v>
      </c>
      <c r="C68" t="s">
        <v>1451</v>
      </c>
    </row>
    <row r="69">
      <c r="C69" t="s">
        <v>1526</v>
      </c>
      <c r="D69">
        <v>11</v>
      </c>
      <c r="E69" s="1">
        <v>12</v>
      </c>
      <c r="F69" s="1">
        <v>1.2</v>
      </c>
      <c r="G69" s="1">
        <v>5.574000000000012</v>
      </c>
      <c r="H69" s="1">
        <v>882.921600000002</v>
      </c>
      <c r="I69" s="1" t="s">
        <v>1438</v>
      </c>
    </row>
    <row r="70">
      <c r="C70" t="s">
        <v>1527</v>
      </c>
      <c r="D70">
        <v>11</v>
      </c>
      <c r="E70" s="2">
        <v>0.785</v>
      </c>
      <c r="F70" s="1">
        <v>1.44</v>
      </c>
      <c r="G70" s="1">
        <v>5.574000000000012</v>
      </c>
      <c r="H70" s="1">
        <v>69.30934560000016</v>
      </c>
      <c r="I70" s="1" t="s">
        <v>1438</v>
      </c>
    </row>
    <row r="71">
      <c r="C71" t="s">
        <v>1528</v>
      </c>
      <c r="D71">
        <v>11</v>
      </c>
      <c r="E71" s="1">
        <v>12</v>
      </c>
      <c r="F71" s="22">
        <v>1.5</v>
      </c>
      <c r="G71" s="1">
        <v>0.3</v>
      </c>
      <c r="H71" s="1">
        <v>59.4</v>
      </c>
      <c r="I71" s="1" t="s">
        <v>1438</v>
      </c>
    </row>
    <row r="72">
      <c r="C72" t="s">
        <v>1529</v>
      </c>
      <c r="D72">
        <v>2</v>
      </c>
      <c r="E72" s="1">
        <v>12</v>
      </c>
      <c r="F72" s="1">
        <v>1.1</v>
      </c>
      <c r="G72" s="1">
        <v>4.4040000000000195</v>
      </c>
      <c r="H72" s="1">
        <v>116.26560000000052</v>
      </c>
      <c r="I72" s="1" t="s">
        <v>1438</v>
      </c>
    </row>
    <row r="73">
      <c r="C73" t="s">
        <v>1530</v>
      </c>
      <c r="D73">
        <v>2</v>
      </c>
      <c r="E73" s="1">
        <v>12</v>
      </c>
      <c r="F73" s="1">
        <v>1</v>
      </c>
      <c r="G73" s="1">
        <v>0.3</v>
      </c>
      <c r="H73" s="1">
        <v>7.199999999999999</v>
      </c>
      <c r="I73" s="1" t="s">
        <v>1438</v>
      </c>
    </row>
    <row r="74">
      <c r="C74" t="s">
        <v>1531</v>
      </c>
      <c r="D74">
        <v>2</v>
      </c>
      <c r="E74" s="1">
        <v>12</v>
      </c>
      <c r="F74" s="1">
        <v>0.3</v>
      </c>
      <c r="G74" s="1">
        <v>0.8</v>
      </c>
      <c r="H74" s="1">
        <v>5.76</v>
      </c>
      <c r="I74" s="1" t="s">
        <v>1438</v>
      </c>
    </row>
    <row r="75">
      <c r="C75" t="s">
        <v>1532</v>
      </c>
      <c r="D75">
        <v>4</v>
      </c>
      <c r="E75" s="1">
        <v>7</v>
      </c>
      <c r="F75" s="22">
        <v>0.5</v>
      </c>
      <c r="G75" s="1">
        <v>1</v>
      </c>
      <c r="H75" s="1">
        <v>14</v>
      </c>
      <c r="I75" s="1" t="s">
        <v>1438</v>
      </c>
    </row>
    <row r="76">
      <c r="C76" t="s">
        <v>1532</v>
      </c>
      <c r="D76">
        <v>4</v>
      </c>
      <c r="E76" s="1">
        <v>7</v>
      </c>
      <c r="F76" s="22">
        <v>1</v>
      </c>
      <c r="G76" s="1">
        <v>1.5</v>
      </c>
      <c r="H76" s="1">
        <v>42</v>
      </c>
      <c r="I76" s="1" t="s">
        <v>1438</v>
      </c>
    </row>
    <row r="77">
      <c r="C77" t="s">
        <v>1532</v>
      </c>
      <c r="D77">
        <v>4</v>
      </c>
      <c r="E77" s="1">
        <v>7</v>
      </c>
      <c r="F77" s="22">
        <v>1.5</v>
      </c>
      <c r="G77" s="1">
        <v>1.5</v>
      </c>
      <c r="H77" s="1">
        <v>63</v>
      </c>
      <c r="I77" s="1" t="s">
        <v>1438</v>
      </c>
    </row>
    <row r="78">
      <c r="C78" t="s">
        <v>1532</v>
      </c>
      <c r="D78">
        <v>4</v>
      </c>
      <c r="E78" s="1">
        <v>7</v>
      </c>
      <c r="F78" s="22">
        <v>2</v>
      </c>
      <c r="G78" s="1">
        <v>1.5</v>
      </c>
      <c r="H78" s="1">
        <v>84</v>
      </c>
      <c r="I78" s="1" t="s">
        <v>1438</v>
      </c>
    </row>
    <row r="79">
      <c r="C79" t="s">
        <v>1532</v>
      </c>
      <c r="D79">
        <v>4</v>
      </c>
      <c r="E79" s="1">
        <v>7</v>
      </c>
      <c r="F79" s="22">
        <v>2.5</v>
      </c>
      <c r="G79" s="1">
        <v>1.5</v>
      </c>
      <c r="H79" s="1">
        <v>105</v>
      </c>
      <c r="I79" s="1" t="s">
        <v>1438</v>
      </c>
    </row>
    <row r="80">
      <c r="G80" s="1" t="s">
        <v>1496</v>
      </c>
      <c r="H80" s="1">
        <v>1448.8565456000026</v>
      </c>
      <c r="I80" s="1" t="s">
        <v>1438</v>
      </c>
    </row>
    <row r="81"/>
    <row r="82" ht="45" customHeight="1">
      <c r="A82">
        <v>10</v>
      </c>
      <c r="B82" t="s">
        <v>1533</v>
      </c>
      <c r="C82" t="s">
        <v>1534</v>
      </c>
    </row>
    <row r="83">
      <c r="C83" t="s">
        <v>1535</v>
      </c>
      <c r="D83" s="8">
        <v>0.0145</v>
      </c>
      <c r="E83" s="1">
        <v>1448.8565456000026</v>
      </c>
      <c r="F83" s="1">
        <v>7850</v>
      </c>
      <c r="H83" s="1">
        <v>164.91609630292032</v>
      </c>
      <c r="I83" s="1" t="s">
        <v>866</v>
      </c>
    </row>
    <row r="84"/>
    <row r="85" ht="90" customHeight="1">
      <c r="A85">
        <v>11</v>
      </c>
      <c r="B85" t="s">
        <v>1536</v>
      </c>
      <c r="C85" t="s">
        <v>1537</v>
      </c>
    </row>
    <row r="86">
      <c r="C86" t="s">
        <v>1538</v>
      </c>
      <c r="D86">
        <v>2</v>
      </c>
      <c r="E86" s="1">
        <v>48</v>
      </c>
      <c r="F86" s="1">
        <v>0.95</v>
      </c>
      <c r="H86" s="1">
        <v>91.19999999999999</v>
      </c>
      <c r="I86" s="1" t="s">
        <v>1539</v>
      </c>
    </row>
    <row r="87">
      <c r="C87" t="s">
        <v>1532</v>
      </c>
      <c r="D87">
        <v>4</v>
      </c>
      <c r="E87" s="1">
        <v>42</v>
      </c>
      <c r="F87" s="1">
        <v>0.65</v>
      </c>
      <c r="H87" s="1">
        <v>109.2</v>
      </c>
      <c r="I87" s="1" t="s">
        <v>1539</v>
      </c>
    </row>
    <row r="88">
      <c r="G88" s="1" t="s">
        <v>1496</v>
      </c>
      <c r="H88" s="1">
        <v>200.39999999999998</v>
      </c>
      <c r="I88" s="1" t="s">
        <v>1539</v>
      </c>
    </row>
    <row r="89"/>
    <row r="90" ht="90" customHeight="1">
      <c r="A90">
        <v>12</v>
      </c>
      <c r="B90" t="s">
        <v>1540</v>
      </c>
      <c r="C90" t="s">
        <v>1456</v>
      </c>
    </row>
    <row r="91">
      <c r="C91" t="s">
        <v>1538</v>
      </c>
      <c r="D91">
        <v>2</v>
      </c>
      <c r="E91" s="1">
        <v>7</v>
      </c>
      <c r="F91" s="1">
        <v>12</v>
      </c>
      <c r="G91" s="1">
        <v>2.9</v>
      </c>
      <c r="H91" s="1">
        <v>487.2</v>
      </c>
      <c r="I91" s="1" t="s">
        <v>1438</v>
      </c>
    </row>
    <row r="92"/>
    <row r="93" ht="60" customHeight="1">
      <c r="A93">
        <v>13</v>
      </c>
      <c r="B93" t="s">
        <v>1541</v>
      </c>
      <c r="C93" t="s">
        <v>1542</v>
      </c>
    </row>
    <row r="94">
      <c r="C94" t="s">
        <v>1543</v>
      </c>
      <c r="D94">
        <v>2</v>
      </c>
      <c r="E94" s="1">
        <v>12</v>
      </c>
      <c r="F94" s="1">
        <v>0.6</v>
      </c>
      <c r="G94" s="1">
        <v>2.9</v>
      </c>
      <c r="H94" s="1">
        <v>41.76</v>
      </c>
      <c r="I94" s="1" t="s">
        <v>1438</v>
      </c>
    </row>
    <row r="95">
      <c r="C95" t="s">
        <v>1544</v>
      </c>
      <c r="D95">
        <v>4</v>
      </c>
      <c r="E95" s="1">
        <v>6</v>
      </c>
      <c r="F95" s="1">
        <v>0.6</v>
      </c>
      <c r="G95" s="1">
        <v>2.9</v>
      </c>
      <c r="H95" s="1">
        <v>41.76</v>
      </c>
      <c r="I95" s="1" t="s">
        <v>1438</v>
      </c>
    </row>
    <row r="96">
      <c r="G96" s="1" t="s">
        <v>1496</v>
      </c>
      <c r="H96" s="1">
        <v>83.52</v>
      </c>
      <c r="I96" s="1" t="s">
        <v>1438</v>
      </c>
    </row>
    <row r="97"/>
    <row r="98">
      <c r="C98" t="s">
        <v>1545</v>
      </c>
    </row>
    <row r="99" ht="135" customHeight="1">
      <c r="A99">
        <v>14</v>
      </c>
      <c r="B99" t="s">
        <v>1546</v>
      </c>
      <c r="C99" t="s">
        <v>1547</v>
      </c>
    </row>
    <row r="100">
      <c r="C100" t="s">
        <v>1548</v>
      </c>
      <c r="D100">
        <v>12</v>
      </c>
      <c r="E100" s="1">
        <v>12.930664820130508</v>
      </c>
      <c r="F100" s="1">
        <v>12</v>
      </c>
      <c r="G100" s="1">
        <v>0.8500000000000001</v>
      </c>
      <c r="H100" s="1">
        <v>1582.7133739839742</v>
      </c>
      <c r="I100" s="1" t="s">
        <v>1438</v>
      </c>
    </row>
    <row r="101">
      <c r="C101" t="s">
        <v>1549</v>
      </c>
      <c r="D101">
        <v>12</v>
      </c>
      <c r="E101" s="1">
        <v>12</v>
      </c>
      <c r="F101" s="3" t="s">
        <v>1550</v>
      </c>
      <c r="H101" s="1">
        <v>81</v>
      </c>
      <c r="I101" s="1" t="s">
        <v>1438</v>
      </c>
    </row>
    <row r="102" ht="30" customHeight="1">
      <c r="C102" t="s">
        <v>1551</v>
      </c>
      <c r="D102">
        <v>216</v>
      </c>
      <c r="E102" s="1">
        <v>0.3</v>
      </c>
      <c r="F102" s="3">
        <v>0.2</v>
      </c>
      <c r="G102" s="1">
        <v>0.3</v>
      </c>
      <c r="H102" s="1">
        <v>36.449999999999996</v>
      </c>
      <c r="I102" s="1" t="s">
        <v>1438</v>
      </c>
    </row>
    <row r="103">
      <c r="H103" s="1">
        <v>1700.1633739839742</v>
      </c>
      <c r="I103" s="1" t="s">
        <v>1438</v>
      </c>
    </row>
    <row r="104"/>
    <row r="105" ht="60" customHeight="1">
      <c r="A105">
        <v>15</v>
      </c>
      <c r="B105" t="s">
        <v>1552</v>
      </c>
      <c r="C105" t="s">
        <v>1553</v>
      </c>
    </row>
    <row r="106">
      <c r="C106" t="s">
        <v>1523</v>
      </c>
      <c r="D106" s="8">
        <v>0.015</v>
      </c>
      <c r="E106" s="1">
        <v>1700.1633739839742</v>
      </c>
      <c r="F106" s="1">
        <v>7850</v>
      </c>
      <c r="H106" s="1">
        <v>200.19423728661297</v>
      </c>
      <c r="I106" s="1" t="s">
        <v>866</v>
      </c>
    </row>
    <row r="107">
      <c r="C107" t="s">
        <v>1554</v>
      </c>
      <c r="D107">
        <v>408</v>
      </c>
      <c r="E107">
        <v>2.25</v>
      </c>
      <c r="F107">
        <v>3.85</v>
      </c>
      <c r="H107" s="1">
        <v>3.53</v>
      </c>
      <c r="I107" s="1" t="s">
        <v>866</v>
      </c>
    </row>
    <row r="108">
      <c r="H108" s="1">
        <v>203.72423728661298</v>
      </c>
      <c r="I108" s="1" t="s">
        <v>866</v>
      </c>
    </row>
    <row r="109"/>
    <row r="110" ht="75" customHeight="1">
      <c r="A110">
        <v>16</v>
      </c>
      <c r="B110" t="s">
        <v>1555</v>
      </c>
      <c r="C110" t="s">
        <v>1556</v>
      </c>
    </row>
    <row r="111">
      <c r="C111" t="s">
        <v>1557</v>
      </c>
      <c r="D111">
        <v>12</v>
      </c>
      <c r="E111" s="1">
        <v>12.930664820130508</v>
      </c>
      <c r="F111" s="1">
        <v>12</v>
      </c>
      <c r="G111" s="2">
        <v>0.075</v>
      </c>
      <c r="H111" s="1">
        <v>139.65118005740948</v>
      </c>
      <c r="I111" s="1" t="s">
        <v>1438</v>
      </c>
    </row>
    <row r="112"/>
    <row r="113" ht="60" customHeight="1">
      <c r="A113">
        <v>17</v>
      </c>
      <c r="B113" t="s">
        <v>1558</v>
      </c>
      <c r="C113" t="s">
        <v>1559</v>
      </c>
    </row>
    <row r="114">
      <c r="D114">
        <v>2</v>
      </c>
      <c r="E114" s="1">
        <v>7.2</v>
      </c>
      <c r="F114" s="1">
        <v>3.5</v>
      </c>
      <c r="G114" s="1">
        <v>0.15</v>
      </c>
      <c r="H114" s="1">
        <v>7.56</v>
      </c>
      <c r="I114" s="1" t="s">
        <v>1438</v>
      </c>
    </row>
    <row r="115"/>
    <row r="116" ht="75" customHeight="1">
      <c r="A116">
        <v>18</v>
      </c>
      <c r="B116" t="s">
        <v>1560</v>
      </c>
      <c r="C116" t="s">
        <v>1561</v>
      </c>
    </row>
    <row r="117">
      <c r="C117" t="s">
        <v>1562</v>
      </c>
      <c r="D117">
        <v>2</v>
      </c>
      <c r="E117" s="1">
        <v>12.93</v>
      </c>
      <c r="F117" s="1">
        <v>3.5</v>
      </c>
      <c r="G117" s="1">
        <v>0.3</v>
      </c>
      <c r="H117" s="1">
        <v>27.152999999999995</v>
      </c>
      <c r="I117" s="1" t="s">
        <v>1438</v>
      </c>
    </row>
    <row r="118"/>
    <row r="119" ht="75" customHeight="1">
      <c r="A119">
        <v>19</v>
      </c>
      <c r="B119" t="s">
        <v>1563</v>
      </c>
      <c r="C119" t="s">
        <v>1564</v>
      </c>
    </row>
    <row r="120">
      <c r="C120" t="s">
        <v>1565</v>
      </c>
      <c r="D120">
        <v>12</v>
      </c>
      <c r="E120" s="1">
        <v>12.930664820130508</v>
      </c>
      <c r="F120" s="1">
        <v>0.8500000000000001</v>
      </c>
      <c r="H120" s="1">
        <v>131.89278116533117</v>
      </c>
      <c r="I120" s="1" t="s">
        <v>180</v>
      </c>
    </row>
    <row r="121">
      <c r="C121" t="s">
        <v>1566</v>
      </c>
      <c r="D121">
        <v>4</v>
      </c>
      <c r="E121" s="1" t="s">
        <v>1567</v>
      </c>
      <c r="H121" s="1">
        <v>25.6</v>
      </c>
      <c r="I121" s="1" t="s">
        <v>180</v>
      </c>
    </row>
    <row r="122">
      <c r="H122" s="1">
        <v>157.49278116533117</v>
      </c>
      <c r="I122" s="1" t="s">
        <v>180</v>
      </c>
    </row>
    <row r="123"/>
    <row r="124" ht="120" customHeight="1">
      <c r="A124">
        <v>20</v>
      </c>
      <c r="B124" t="s">
        <v>1568</v>
      </c>
      <c r="C124" t="s">
        <v>1465</v>
      </c>
    </row>
    <row r="125">
      <c r="C125" t="s">
        <v>1569</v>
      </c>
      <c r="D125">
        <v>11</v>
      </c>
      <c r="E125" s="1">
        <v>1.2</v>
      </c>
      <c r="F125" s="1">
        <v>12</v>
      </c>
      <c r="H125" s="1">
        <v>158.39999999999998</v>
      </c>
      <c r="I125" s="1" t="s">
        <v>180</v>
      </c>
    </row>
    <row r="126">
      <c r="C126" t="s">
        <v>1543</v>
      </c>
      <c r="D126">
        <v>2</v>
      </c>
      <c r="E126" s="1">
        <v>1</v>
      </c>
      <c r="F126" s="1">
        <v>12</v>
      </c>
      <c r="H126" s="1">
        <v>24</v>
      </c>
      <c r="I126" s="1" t="s">
        <v>180</v>
      </c>
    </row>
    <row r="127">
      <c r="G127" s="1" t="s">
        <v>1496</v>
      </c>
      <c r="H127" s="1">
        <v>182.39999999999998</v>
      </c>
      <c r="I127" s="1" t="s">
        <v>180</v>
      </c>
    </row>
    <row r="128"/>
    <row r="129">
      <c r="C129" t="s">
        <v>1570</v>
      </c>
    </row>
    <row r="130"/>
    <row r="131" ht="90" customHeight="1">
      <c r="A131">
        <v>21</v>
      </c>
      <c r="C131" t="s">
        <v>1571</v>
      </c>
    </row>
    <row r="132">
      <c r="C132" s="1" t="s">
        <v>1572</v>
      </c>
      <c r="E132" s="1">
        <v>3389</v>
      </c>
      <c r="F132" s="1" t="s">
        <v>1438</v>
      </c>
    </row>
    <row r="133">
      <c r="G133" t="s">
        <v>1573</v>
      </c>
      <c r="H133" s="1">
        <v>2033.3999999999999</v>
      </c>
      <c r="I133" s="1" t="s">
        <v>1438</v>
      </c>
    </row>
    <row r="134"/>
    <row r="135" ht="60" customHeight="1">
      <c r="A135">
        <v>22</v>
      </c>
      <c r="C135" t="s">
        <v>1574</v>
      </c>
    </row>
    <row r="136">
      <c r="G136" t="s">
        <v>1575</v>
      </c>
      <c r="H136" s="1">
        <v>1355.6000000000001</v>
      </c>
      <c r="I136" s="1" t="s">
        <v>1438</v>
      </c>
    </row>
    <row r="137"/>
    <row r="138" ht="180" customHeight="1">
      <c r="A138">
        <v>23</v>
      </c>
      <c r="B138" t="s">
        <v>1493</v>
      </c>
      <c r="C138" t="s">
        <v>1576</v>
      </c>
    </row>
    <row r="139">
      <c r="C139" t="s">
        <v>1577</v>
      </c>
      <c r="D139">
        <v>4</v>
      </c>
      <c r="E139" s="1">
        <v>75</v>
      </c>
      <c r="F139" s="1">
        <v>3.5</v>
      </c>
      <c r="G139" s="1">
        <v>2</v>
      </c>
      <c r="H139" s="1">
        <v>2100</v>
      </c>
      <c r="I139" s="1" t="s">
        <v>1438</v>
      </c>
      <c r="L139" s="1">
        <v>115829505</v>
      </c>
    </row>
    <row r="140"/>
    <row r="141" ht="180" customHeight="1">
      <c r="A141">
        <v>24</v>
      </c>
      <c r="B141" t="s">
        <v>1500</v>
      </c>
      <c r="C141" t="s">
        <v>1501</v>
      </c>
    </row>
    <row r="142">
      <c r="C142" t="s">
        <v>1577</v>
      </c>
      <c r="D142">
        <v>4</v>
      </c>
      <c r="E142" s="1">
        <v>75</v>
      </c>
      <c r="F142" s="1">
        <v>3.5</v>
      </c>
      <c r="G142" s="1">
        <v>1</v>
      </c>
      <c r="H142" s="1">
        <v>1610</v>
      </c>
      <c r="I142" s="1" t="s">
        <v>1438</v>
      </c>
    </row>
    <row r="143"/>
    <row r="144" ht="120" customHeight="1">
      <c r="A144">
        <v>25</v>
      </c>
      <c r="B144" t="s">
        <v>1513</v>
      </c>
      <c r="C144" t="s">
        <v>1514</v>
      </c>
    </row>
    <row r="145">
      <c r="C145" t="s">
        <v>1577</v>
      </c>
      <c r="D145">
        <v>4</v>
      </c>
      <c r="E145" s="1">
        <v>75</v>
      </c>
      <c r="F145" s="1">
        <v>3.5</v>
      </c>
      <c r="G145" s="1">
        <v>0.15</v>
      </c>
      <c r="H145" s="1">
        <v>157.5</v>
      </c>
      <c r="I145" s="1" t="s">
        <v>1438</v>
      </c>
    </row>
    <row r="146">
      <c r="C146" t="s">
        <v>1502</v>
      </c>
      <c r="D146">
        <v>12</v>
      </c>
      <c r="E146" s="1">
        <v>12.5</v>
      </c>
      <c r="F146" s="1">
        <v>1</v>
      </c>
      <c r="G146" s="1">
        <v>0.3</v>
      </c>
      <c r="H146" s="1">
        <v>45</v>
      </c>
      <c r="I146" s="1" t="s">
        <v>1438</v>
      </c>
    </row>
    <row r="147">
      <c r="C147" t="s">
        <v>1502</v>
      </c>
      <c r="D147">
        <v>12</v>
      </c>
      <c r="E147" s="1">
        <v>12.5</v>
      </c>
      <c r="F147" s="1">
        <v>0.7</v>
      </c>
      <c r="G147" s="1">
        <v>0.7</v>
      </c>
      <c r="H147" s="1">
        <v>73.5</v>
      </c>
      <c r="I147" s="1" t="s">
        <v>1438</v>
      </c>
    </row>
    <row r="148">
      <c r="C148" t="s">
        <v>1503</v>
      </c>
      <c r="D148">
        <v>12</v>
      </c>
      <c r="E148" s="1">
        <v>12.5</v>
      </c>
      <c r="F148" s="1">
        <v>1</v>
      </c>
      <c r="G148" s="1">
        <v>0.3</v>
      </c>
      <c r="H148" s="1">
        <v>45</v>
      </c>
      <c r="I148" s="1" t="s">
        <v>1438</v>
      </c>
    </row>
    <row r="149">
      <c r="C149" t="s">
        <v>1503</v>
      </c>
      <c r="D149">
        <v>12</v>
      </c>
      <c r="E149" s="1">
        <v>12.5</v>
      </c>
      <c r="F149" s="1">
        <v>0.7</v>
      </c>
      <c r="G149" s="1">
        <v>0.7</v>
      </c>
      <c r="H149" s="1">
        <v>73.5</v>
      </c>
      <c r="I149" s="1" t="s">
        <v>1438</v>
      </c>
    </row>
    <row r="150">
      <c r="G150" s="1" t="s">
        <v>1496</v>
      </c>
      <c r="H150" s="1">
        <v>394.5</v>
      </c>
      <c r="I150" s="1" t="s">
        <v>1438</v>
      </c>
    </row>
    <row r="151"/>
    <row r="152" ht="120" customHeight="1">
      <c r="A152">
        <v>26</v>
      </c>
      <c r="B152" t="s">
        <v>1516</v>
      </c>
      <c r="C152" t="s">
        <v>1517</v>
      </c>
    </row>
    <row r="153">
      <c r="C153" t="s">
        <v>1577</v>
      </c>
      <c r="D153">
        <v>4</v>
      </c>
      <c r="E153" s="1">
        <v>75</v>
      </c>
      <c r="F153" s="1">
        <v>3.1</v>
      </c>
      <c r="G153" s="1">
        <v>0.4</v>
      </c>
      <c r="H153" s="1">
        <v>372</v>
      </c>
      <c r="I153" s="1" t="s">
        <v>1438</v>
      </c>
    </row>
    <row r="154"/>
    <row r="155" ht="75" customHeight="1">
      <c r="A155">
        <v>27</v>
      </c>
      <c r="B155" t="s">
        <v>1521</v>
      </c>
      <c r="C155" t="s">
        <v>1522</v>
      </c>
    </row>
    <row r="156">
      <c r="C156" t="s">
        <v>1523</v>
      </c>
      <c r="D156" s="8">
        <v>0.015</v>
      </c>
      <c r="E156" s="1">
        <v>372</v>
      </c>
      <c r="F156" s="1">
        <v>7850</v>
      </c>
      <c r="H156" s="1">
        <v>43.803</v>
      </c>
      <c r="I156" s="1" t="s">
        <v>866</v>
      </c>
    </row>
    <row r="157"/>
    <row r="158" ht="120" customHeight="1">
      <c r="A158">
        <v>28</v>
      </c>
      <c r="B158" t="s">
        <v>1525</v>
      </c>
      <c r="C158" t="s">
        <v>1451</v>
      </c>
      <c r="F158" s="1" t="s">
        <v>1578</v>
      </c>
    </row>
    <row r="159">
      <c r="C159" t="s">
        <v>1577</v>
      </c>
      <c r="D159">
        <v>4</v>
      </c>
      <c r="E159" s="1">
        <v>75</v>
      </c>
      <c r="F159" s="1">
        <v>0.6</v>
      </c>
      <c r="G159" s="1">
        <v>4.5</v>
      </c>
      <c r="H159" s="1">
        <v>810</v>
      </c>
      <c r="I159" s="1" t="s">
        <v>1438</v>
      </c>
    </row>
    <row r="160">
      <c r="H160" s="1">
        <v>810</v>
      </c>
      <c r="I160" s="1" t="s">
        <v>1438</v>
      </c>
    </row>
    <row r="161"/>
    <row r="162" ht="45" customHeight="1">
      <c r="A162">
        <v>29</v>
      </c>
      <c r="B162" t="s">
        <v>1533</v>
      </c>
      <c r="C162" t="s">
        <v>1534</v>
      </c>
    </row>
    <row r="163">
      <c r="C163" t="s">
        <v>1579</v>
      </c>
      <c r="D163" s="8">
        <v>0.015</v>
      </c>
      <c r="E163" s="1">
        <v>810</v>
      </c>
      <c r="F163" s="1">
        <v>7850</v>
      </c>
      <c r="H163" s="1">
        <v>95.3775</v>
      </c>
      <c r="I163" s="1" t="s">
        <v>866</v>
      </c>
    </row>
    <row r="164"/>
    <row r="165"/>
    <row r="166" ht="90" customHeight="1">
      <c r="A166">
        <v>30</v>
      </c>
      <c r="B166" t="s">
        <v>1540</v>
      </c>
      <c r="C166" t="s">
        <v>1456</v>
      </c>
    </row>
    <row r="167">
      <c r="C167" t="s">
        <v>1577</v>
      </c>
      <c r="D167">
        <v>2</v>
      </c>
      <c r="E167" s="1">
        <v>75</v>
      </c>
      <c r="F167" s="1">
        <v>6.5</v>
      </c>
      <c r="G167" s="1">
        <v>1</v>
      </c>
      <c r="H167" s="1">
        <v>975</v>
      </c>
      <c r="I167" s="1" t="s">
        <v>1438</v>
      </c>
    </row>
    <row r="168"/>
    <row r="169"/>
    <row r="170" ht="90" customHeight="1">
      <c r="A170">
        <v>31</v>
      </c>
      <c r="B170" t="s">
        <v>1536</v>
      </c>
      <c r="C170" t="s">
        <v>1537</v>
      </c>
    </row>
    <row r="171">
      <c r="C171" t="s">
        <v>1577</v>
      </c>
      <c r="D171">
        <v>4</v>
      </c>
      <c r="E171" s="1">
        <v>75</v>
      </c>
      <c r="F171">
        <v>2</v>
      </c>
      <c r="G171" s="1">
        <v>0.65</v>
      </c>
      <c r="H171" s="1">
        <v>390</v>
      </c>
      <c r="I171" s="1" t="s">
        <v>1455</v>
      </c>
    </row>
    <row r="172"/>
    <row r="173" ht="60" customHeight="1">
      <c r="A173">
        <v>32</v>
      </c>
      <c r="B173" t="s">
        <v>1541</v>
      </c>
      <c r="C173" t="s">
        <v>1542</v>
      </c>
    </row>
    <row r="174">
      <c r="C174" t="s">
        <v>1577</v>
      </c>
      <c r="D174">
        <v>2</v>
      </c>
      <c r="E174" s="1">
        <v>75</v>
      </c>
      <c r="F174" s="1">
        <v>6.5</v>
      </c>
      <c r="G174" s="1">
        <v>0.5</v>
      </c>
      <c r="H174" s="1">
        <v>487.5</v>
      </c>
      <c r="I174" s="1" t="s">
        <v>1438</v>
      </c>
    </row>
    <row r="175"/>
    <row r="176" ht="60" customHeight="1">
      <c r="A176">
        <v>33</v>
      </c>
      <c r="B176" t="s">
        <v>1558</v>
      </c>
      <c r="C176" t="s">
        <v>1559</v>
      </c>
    </row>
    <row r="177">
      <c r="D177">
        <v>2</v>
      </c>
      <c r="E177" s="1">
        <v>75</v>
      </c>
      <c r="F177" s="1">
        <v>5.5</v>
      </c>
      <c r="G177" s="1">
        <v>0.15</v>
      </c>
      <c r="H177" s="1">
        <v>123.75</v>
      </c>
      <c r="I177" s="1" t="s">
        <v>1438</v>
      </c>
    </row>
    <row r="178"/>
    <row r="179" ht="300" customHeight="1">
      <c r="A179">
        <v>34</v>
      </c>
      <c r="B179" t="s">
        <v>1580</v>
      </c>
      <c r="C179" t="s">
        <v>1581</v>
      </c>
    </row>
    <row r="180">
      <c r="C180" t="s">
        <v>1582</v>
      </c>
      <c r="D180">
        <v>2</v>
      </c>
      <c r="E180" s="1">
        <v>75</v>
      </c>
      <c r="F180" s="1">
        <v>12</v>
      </c>
      <c r="G180" s="1">
        <v>0.2</v>
      </c>
      <c r="H180" s="1">
        <v>360</v>
      </c>
      <c r="I180" s="1" t="s">
        <v>1438</v>
      </c>
    </row>
    <row r="181"/>
    <row r="182" ht="135" customHeight="1">
      <c r="A182">
        <v>35</v>
      </c>
      <c r="B182" t="s">
        <v>1558</v>
      </c>
      <c r="C182" t="s">
        <v>1469</v>
      </c>
    </row>
    <row r="183">
      <c r="D183">
        <v>2</v>
      </c>
      <c r="E183" s="1">
        <v>12</v>
      </c>
      <c r="F183" s="1">
        <v>12.930664820130508</v>
      </c>
      <c r="H183" s="1">
        <v>310.33595568313217</v>
      </c>
      <c r="I183" s="1" t="s">
        <v>70</v>
      </c>
    </row>
    <row r="185" ht="345.75" customHeight="1">
      <c r="A185" s="4">
        <v>36</v>
      </c>
      <c r="B185" t="s">
        <v>1470</v>
      </c>
      <c r="C185" t="s">
        <v>1470</v>
      </c>
      <c r="D185">
        <v>2</v>
      </c>
      <c r="H185">
        <v>2</v>
      </c>
      <c r="I185" t="s">
        <v>216</v>
      </c>
    </row>
    <row r="186" ht="156.75" customHeight="1">
      <c r="A186" s="4">
        <v>37</v>
      </c>
      <c r="B186" t="s">
        <v>1472</v>
      </c>
      <c r="C186" t="s">
        <v>1472</v>
      </c>
      <c r="D186">
        <v>3</v>
      </c>
      <c r="H186">
        <v>3</v>
      </c>
      <c r="I186" t="s">
        <v>216</v>
      </c>
    </row>
    <row r="187" ht="190.5" customHeight="1">
      <c r="A187" s="4">
        <v>38</v>
      </c>
      <c r="B187" t="s">
        <v>1473</v>
      </c>
      <c r="C187" t="s">
        <v>1473</v>
      </c>
      <c r="D187">
        <v>6</v>
      </c>
      <c r="H187">
        <v>6</v>
      </c>
      <c r="I187" t="s">
        <v>216</v>
      </c>
    </row>
    <row r="188" ht="187.5" customHeight="1">
      <c r="A188" s="4">
        <v>39</v>
      </c>
      <c r="B188" t="s">
        <v>1474</v>
      </c>
      <c r="C188" t="s">
        <v>1474</v>
      </c>
      <c r="D188">
        <v>6</v>
      </c>
      <c r="H188">
        <v>6</v>
      </c>
      <c r="I188" t="s">
        <v>216</v>
      </c>
    </row>
    <row r="189" ht="409.5" customHeight="1">
      <c r="A189" s="4">
        <v>40</v>
      </c>
      <c r="B189" t="s">
        <v>1475</v>
      </c>
      <c r="C189" t="s">
        <v>1583</v>
      </c>
      <c r="D189">
        <v>2</v>
      </c>
      <c r="E189">
        <v>200</v>
      </c>
      <c r="H189">
        <v>400</v>
      </c>
      <c r="I189" t="s">
        <v>216</v>
      </c>
    </row>
    <row r="190" ht="171.75" customHeight="1">
      <c r="A190" s="4">
        <v>41</v>
      </c>
      <c r="B190" t="s">
        <v>1476</v>
      </c>
      <c r="C190" t="s">
        <v>1476</v>
      </c>
      <c r="D190">
        <v>2223</v>
      </c>
      <c r="E190">
        <v>1.5</v>
      </c>
      <c r="F190">
        <v>0.15</v>
      </c>
      <c r="H190" s="1">
        <v>500.17499999999995</v>
      </c>
      <c r="I190" t="s">
        <v>1477</v>
      </c>
    </row>
    <row r="191" ht="85.5" customHeight="1">
      <c r="A191" s="4">
        <v>42</v>
      </c>
      <c r="B191" t="s">
        <v>1479</v>
      </c>
      <c r="C191" t="s">
        <v>1479</v>
      </c>
    </row>
    <row r="192" ht="15" customHeight="1">
      <c r="D192">
        <v>4</v>
      </c>
      <c r="E192" s="1">
        <v>30</v>
      </c>
      <c r="F192" s="1">
        <v>4.47213595499958</v>
      </c>
      <c r="G192" s="1">
        <v>0.3</v>
      </c>
      <c r="H192" s="1">
        <v>160.99689437998487</v>
      </c>
      <c r="I192" t="s">
        <v>1480</v>
      </c>
    </row>
    <row r="193" ht="15" customHeight="1"/>
    <row r="194" ht="141" customHeight="1">
      <c r="A194" s="4">
        <v>43</v>
      </c>
      <c r="B194" t="s">
        <v>1482</v>
      </c>
      <c r="C194" t="s">
        <v>1482</v>
      </c>
      <c r="D194">
        <v>4</v>
      </c>
      <c r="E194" s="1">
        <v>30</v>
      </c>
      <c r="F194" s="1">
        <v>4.47213595499958</v>
      </c>
      <c r="G194" s="1">
        <v>0.45</v>
      </c>
      <c r="H194" s="1">
        <v>241.49534156997734</v>
      </c>
      <c r="I194" t="s">
        <v>1480</v>
      </c>
    </row>
    <row r="195" ht="15" customHeight="1">
      <c r="C195" t="s">
        <v>1519</v>
      </c>
      <c r="D195">
        <v>12</v>
      </c>
      <c r="E195" s="1">
        <v>12.5</v>
      </c>
      <c r="F195" s="1">
        <v>3</v>
      </c>
      <c r="G195" s="1">
        <v>0.75</v>
      </c>
      <c r="H195" s="1">
        <v>337.5</v>
      </c>
      <c r="I195" t="s">
        <v>1480</v>
      </c>
    </row>
    <row r="196" ht="15" customHeight="1">
      <c r="C196" t="s">
        <v>1519</v>
      </c>
      <c r="D196">
        <v>12</v>
      </c>
      <c r="E196" s="1">
        <v>12.5</v>
      </c>
      <c r="F196" s="1">
        <v>4</v>
      </c>
      <c r="G196" s="1">
        <v>1</v>
      </c>
      <c r="H196" s="1">
        <v>600</v>
      </c>
      <c r="I196" t="s">
        <v>1480</v>
      </c>
    </row>
    <row r="197" ht="15" customHeight="1">
      <c r="C197" t="s">
        <v>1520</v>
      </c>
      <c r="D197">
        <v>12</v>
      </c>
      <c r="E197" s="1">
        <v>12.5</v>
      </c>
      <c r="F197" s="1">
        <v>5</v>
      </c>
      <c r="G197" s="1">
        <v>0.75</v>
      </c>
      <c r="H197" s="1">
        <v>562.5</v>
      </c>
      <c r="I197" t="s">
        <v>1480</v>
      </c>
    </row>
    <row r="198" ht="15" customHeight="1">
      <c r="C198" t="s">
        <v>1520</v>
      </c>
      <c r="D198">
        <v>12</v>
      </c>
      <c r="E198" s="1">
        <v>12.5</v>
      </c>
      <c r="F198" s="1">
        <v>6</v>
      </c>
      <c r="G198" s="1">
        <v>1</v>
      </c>
      <c r="H198" s="1">
        <v>900</v>
      </c>
      <c r="I198" t="s">
        <v>1480</v>
      </c>
    </row>
    <row r="199">
      <c r="H199" s="1">
        <v>2641.4953415699774</v>
      </c>
      <c r="I199" s="1" t="s">
        <v>1438</v>
      </c>
    </row>
    <row r="200"/>
    <row r="201" ht="84.75" customHeight="1">
      <c r="A201" s="4">
        <v>44</v>
      </c>
      <c r="B201" t="s">
        <v>1483</v>
      </c>
      <c r="C201" t="s">
        <v>1483</v>
      </c>
      <c r="D201">
        <v>2</v>
      </c>
      <c r="E201" s="1">
        <v>15</v>
      </c>
      <c r="H201" s="1">
        <v>30</v>
      </c>
      <c r="I201" t="s">
        <v>1484</v>
      </c>
    </row>
    <row r="202" ht="81.75" customHeight="1">
      <c r="A202" s="4">
        <v>45</v>
      </c>
      <c r="B202" t="s">
        <v>1486</v>
      </c>
      <c r="C202" t="s">
        <v>1486</v>
      </c>
      <c r="D202">
        <v>2</v>
      </c>
      <c r="E202" s="1">
        <v>15</v>
      </c>
      <c r="H202" s="1">
        <v>30</v>
      </c>
      <c r="I202" t="s">
        <v>1484</v>
      </c>
    </row>
    <row r="203" ht="87" customHeight="1">
      <c r="A203" s="4">
        <v>46</v>
      </c>
      <c r="B203" t="s">
        <v>1487</v>
      </c>
      <c r="C203" t="s">
        <v>1487</v>
      </c>
      <c r="D203">
        <v>8</v>
      </c>
      <c r="E203" s="1">
        <v>15</v>
      </c>
      <c r="H203" s="1">
        <v>120</v>
      </c>
      <c r="I203" t="s">
        <v>1484</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