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mpiriqa\Project 482 ES Publication Adherence\Validation Agreement Analysis\"/>
    </mc:Choice>
  </mc:AlternateContent>
  <xr:revisionPtr revIDLastSave="0" documentId="13_ncr:1_{33D6688B-061D-483C-A74F-C3CA06AAF4B6}" xr6:coauthVersionLast="45" xr6:coauthVersionMax="45" xr10:uidLastSave="{00000000-0000-0000-0000-000000000000}"/>
  <bookViews>
    <workbookView xWindow="384" yWindow="384" windowWidth="19392" windowHeight="11640" tabRatio="864" firstSheet="7" activeTab="11" xr2:uid="{4ABC3BBD-BAF2-4297-86ED-3C6779D4C753}"/>
  </bookViews>
  <sheets>
    <sheet name="SummaryQualCTC45-85" sheetId="17" r:id="rId1"/>
    <sheet name="SummaryQuantCTC" sheetId="6" r:id="rId2"/>
    <sheet name="CTC" sheetId="1" r:id="rId3"/>
    <sheet name="Intermediate CTC" sheetId="5" r:id="rId4"/>
    <sheet name="Quant MISCAN as Ref CTC" sheetId="11" r:id="rId5"/>
    <sheet name="Quant CRCSPIN as Ref CTC" sheetId="9" r:id="rId6"/>
    <sheet name="Quant SimCRC as Ref CTC" sheetId="10" r:id="rId7"/>
    <sheet name="Qual CTC CRC-AIM_45-85" sheetId="18" r:id="rId8"/>
    <sheet name="Qual CTC CRC-SPIN_45-85" sheetId="19" r:id="rId9"/>
    <sheet name="Qual CTC SimCRC_45-85" sheetId="20" r:id="rId10"/>
    <sheet name="Qual CTC MISCAN_45-85" sheetId="21" r:id="rId11"/>
    <sheet name="Qual CTC CRC-AIM_50-85 vs CISNE" sheetId="22" r:id="rId12"/>
    <sheet name="version" sheetId="7" r:id="rId13"/>
  </sheets>
  <definedNames>
    <definedName name="_xlnm._FilterDatabase" localSheetId="11" hidden="1">'Qual CTC CRC-AIM_50-85 vs CISNE'!$A$1:$M$11</definedName>
    <definedName name="_xlnm._FilterDatabase" localSheetId="8" hidden="1">'Qual CTC CRC-SPIN_45-85'!$A$1:$K$21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8" i="22" l="1"/>
  <c r="M7" i="22"/>
  <c r="M6" i="22"/>
  <c r="M5" i="22"/>
  <c r="M4" i="22"/>
  <c r="M11" i="22" l="1"/>
  <c r="M10" i="22"/>
  <c r="M9" i="22"/>
  <c r="M3" i="22"/>
  <c r="M2" i="22"/>
  <c r="F11" i="22" l="1"/>
  <c r="G11" i="22" s="1"/>
  <c r="F10" i="22"/>
  <c r="G10" i="22" s="1"/>
  <c r="F9" i="22"/>
  <c r="G9" i="22" s="1"/>
  <c r="F3" i="22"/>
  <c r="G3" i="22" s="1"/>
  <c r="H7" i="22" l="1"/>
  <c r="I7" i="22" s="1"/>
  <c r="H5" i="22"/>
  <c r="I5" i="22" s="1"/>
  <c r="J13" i="21"/>
  <c r="J12" i="21"/>
  <c r="J9" i="21"/>
  <c r="J7" i="21"/>
  <c r="J6" i="21"/>
  <c r="J5" i="21"/>
  <c r="I13" i="21"/>
  <c r="I12" i="21"/>
  <c r="I10" i="21"/>
  <c r="I9" i="21"/>
  <c r="I7" i="21"/>
  <c r="I6" i="21"/>
  <c r="I5" i="21"/>
  <c r="H13" i="21"/>
  <c r="H12" i="21"/>
  <c r="H10" i="21"/>
  <c r="H9" i="21"/>
  <c r="H7" i="21"/>
  <c r="H6" i="21"/>
  <c r="H5" i="21"/>
  <c r="H3" i="21"/>
  <c r="G16" i="21"/>
  <c r="G15" i="21"/>
  <c r="G14" i="21"/>
  <c r="G11" i="21"/>
  <c r="F16" i="21"/>
  <c r="F15" i="21"/>
  <c r="F14" i="21"/>
  <c r="F11" i="21"/>
  <c r="F4" i="21"/>
  <c r="J9" i="20"/>
  <c r="I9" i="20"/>
  <c r="I5" i="20"/>
  <c r="H9" i="20"/>
  <c r="H5" i="20"/>
  <c r="G16" i="20"/>
  <c r="G15" i="20"/>
  <c r="G14" i="20"/>
  <c r="G7" i="20"/>
  <c r="F16" i="20"/>
  <c r="F15" i="20"/>
  <c r="F14" i="20"/>
  <c r="F7" i="20"/>
  <c r="F3" i="20"/>
  <c r="J9" i="19"/>
  <c r="I13" i="19"/>
  <c r="I12" i="19"/>
  <c r="I11" i="19"/>
  <c r="I9" i="19"/>
  <c r="H11" i="19"/>
  <c r="H13" i="19"/>
  <c r="H12" i="19"/>
  <c r="H9" i="19"/>
  <c r="H5" i="19"/>
  <c r="G16" i="19"/>
  <c r="G15" i="19"/>
  <c r="G14" i="19"/>
  <c r="G7" i="19"/>
  <c r="F16" i="19"/>
  <c r="F15" i="19"/>
  <c r="F14" i="19"/>
  <c r="F7" i="19"/>
  <c r="F3" i="19"/>
  <c r="J8" i="18"/>
  <c r="H8" i="18"/>
  <c r="I8" i="18"/>
  <c r="I13" i="18"/>
  <c r="I12" i="18"/>
  <c r="I11" i="18"/>
  <c r="H13" i="18"/>
  <c r="H12" i="18"/>
  <c r="H11" i="18"/>
  <c r="H5" i="18"/>
  <c r="G16" i="18"/>
  <c r="G15" i="18"/>
  <c r="G14" i="18"/>
  <c r="G6" i="18"/>
  <c r="F16" i="18"/>
  <c r="F15" i="18"/>
  <c r="F14" i="18"/>
  <c r="F6" i="18"/>
  <c r="G4" i="21" l="1"/>
  <c r="I3" i="21" s="1"/>
  <c r="G3" i="20"/>
  <c r="I5" i="19" l="1"/>
  <c r="G3" i="19"/>
  <c r="I5" i="18"/>
  <c r="F3" i="18"/>
  <c r="G3" i="18" s="1"/>
  <c r="AD65" i="17" l="1"/>
  <c r="AC82" i="17" s="1"/>
  <c r="AC65" i="17"/>
  <c r="AB65" i="17"/>
  <c r="AB82" i="17" s="1"/>
  <c r="X65" i="17"/>
  <c r="W82" i="17" s="1"/>
  <c r="W65" i="17"/>
  <c r="V65" i="17"/>
  <c r="V82" i="17" s="1"/>
  <c r="R65" i="17"/>
  <c r="Q82" i="17" s="1"/>
  <c r="Q65" i="17"/>
  <c r="P65" i="17"/>
  <c r="AD64" i="17"/>
  <c r="AC64" i="17"/>
  <c r="AC71" i="17" s="1"/>
  <c r="AB64" i="17"/>
  <c r="X64" i="17"/>
  <c r="W64" i="17"/>
  <c r="W71" i="17" s="1"/>
  <c r="V64" i="17"/>
  <c r="R64" i="17"/>
  <c r="Q64" i="17"/>
  <c r="P64" i="17"/>
  <c r="AD63" i="17"/>
  <c r="AC81" i="17" s="1"/>
  <c r="AC63" i="17"/>
  <c r="AB63" i="17"/>
  <c r="AB70" i="17" s="1"/>
  <c r="X63" i="17"/>
  <c r="W81" i="17" s="1"/>
  <c r="W63" i="17"/>
  <c r="V63" i="17"/>
  <c r="V70" i="17" s="1"/>
  <c r="R63" i="17"/>
  <c r="Q63" i="17"/>
  <c r="P63" i="17"/>
  <c r="P70" i="17" s="1"/>
  <c r="AD36" i="17"/>
  <c r="AC53" i="17" s="1"/>
  <c r="AC36" i="17"/>
  <c r="AB36" i="17"/>
  <c r="X36" i="17"/>
  <c r="W53" i="17" s="1"/>
  <c r="W36" i="17"/>
  <c r="V36" i="17"/>
  <c r="R36" i="17"/>
  <c r="Q53" i="17" s="1"/>
  <c r="Q36" i="17"/>
  <c r="P36" i="17"/>
  <c r="AD35" i="17"/>
  <c r="AC35" i="17"/>
  <c r="AB35" i="17"/>
  <c r="X35" i="17"/>
  <c r="W35" i="17"/>
  <c r="V35" i="17"/>
  <c r="V42" i="17" s="1"/>
  <c r="R35" i="17"/>
  <c r="Q35" i="17"/>
  <c r="P35" i="17"/>
  <c r="AD34" i="17"/>
  <c r="AC34" i="17"/>
  <c r="AB34" i="17"/>
  <c r="AB41" i="17" s="1"/>
  <c r="X34" i="17"/>
  <c r="W34" i="17"/>
  <c r="V34" i="17"/>
  <c r="V41" i="17" s="1"/>
  <c r="R34" i="17"/>
  <c r="Q34" i="17"/>
  <c r="P34" i="17"/>
  <c r="AD7" i="17"/>
  <c r="AC24" i="17" s="1"/>
  <c r="AC7" i="17"/>
  <c r="AB7" i="17"/>
  <c r="X7" i="17"/>
  <c r="W24" i="17" s="1"/>
  <c r="W7" i="17"/>
  <c r="V24" i="17" s="1"/>
  <c r="V7" i="17"/>
  <c r="R7" i="17"/>
  <c r="Q24" i="17" s="1"/>
  <c r="Q7" i="17"/>
  <c r="P7" i="17"/>
  <c r="AD6" i="17"/>
  <c r="AC6" i="17"/>
  <c r="AB6" i="17"/>
  <c r="X6" i="17"/>
  <c r="W6" i="17"/>
  <c r="V6" i="17"/>
  <c r="R6" i="17"/>
  <c r="Q6" i="17"/>
  <c r="P6" i="17"/>
  <c r="P13" i="17" s="1"/>
  <c r="AD5" i="17"/>
  <c r="AC5" i="17"/>
  <c r="AB5" i="17"/>
  <c r="AB12" i="17" s="1"/>
  <c r="X5" i="17"/>
  <c r="W5" i="17"/>
  <c r="V5" i="17"/>
  <c r="V12" i="17" s="1"/>
  <c r="R5" i="17"/>
  <c r="Q5" i="17"/>
  <c r="P5" i="17"/>
  <c r="Q70" i="17" l="1"/>
  <c r="P71" i="17"/>
  <c r="V13" i="17"/>
  <c r="Q13" i="17"/>
  <c r="Q41" i="17"/>
  <c r="P42" i="17"/>
  <c r="V71" i="17"/>
  <c r="W75" i="17" s="1"/>
  <c r="Q12" i="17"/>
  <c r="AB13" i="17"/>
  <c r="AB17" i="17" s="1"/>
  <c r="P23" i="17"/>
  <c r="Q28" i="17" s="1"/>
  <c r="AB24" i="17"/>
  <c r="W52" i="17"/>
  <c r="U56" i="17" s="1"/>
  <c r="AC52" i="17"/>
  <c r="AC42" i="17"/>
  <c r="AB45" i="17" s="1"/>
  <c r="AB53" i="17"/>
  <c r="W13" i="17"/>
  <c r="W42" i="17"/>
  <c r="V45" i="17" s="1"/>
  <c r="V53" i="17"/>
  <c r="P52" i="17"/>
  <c r="P41" i="17"/>
  <c r="P46" i="17" s="1"/>
  <c r="W41" i="17"/>
  <c r="W70" i="17"/>
  <c r="Q23" i="17"/>
  <c r="P24" i="17"/>
  <c r="W12" i="17"/>
  <c r="W16" i="17" s="1"/>
  <c r="AB52" i="17"/>
  <c r="W23" i="17"/>
  <c r="V27" i="17" s="1"/>
  <c r="AC41" i="17"/>
  <c r="AB42" i="17"/>
  <c r="AA46" i="17" s="1"/>
  <c r="AC70" i="17"/>
  <c r="AC74" i="17" s="1"/>
  <c r="AB71" i="17"/>
  <c r="AC12" i="17"/>
  <c r="AC13" i="17"/>
  <c r="AA18" i="17" s="1"/>
  <c r="Q52" i="17"/>
  <c r="Q56" i="17" s="1"/>
  <c r="Q42" i="17"/>
  <c r="P53" i="17"/>
  <c r="Q81" i="17"/>
  <c r="P85" i="17" s="1"/>
  <c r="Q71" i="17"/>
  <c r="P82" i="17"/>
  <c r="AA75" i="17"/>
  <c r="AC17" i="17"/>
  <c r="AA17" i="17"/>
  <c r="O75" i="17"/>
  <c r="Q75" i="17"/>
  <c r="P75" i="17"/>
  <c r="AC85" i="17"/>
  <c r="AB85" i="17"/>
  <c r="AA85" i="17"/>
  <c r="U46" i="17"/>
  <c r="W46" i="17"/>
  <c r="V46" i="17"/>
  <c r="V75" i="17"/>
  <c r="U75" i="17"/>
  <c r="W17" i="17"/>
  <c r="V17" i="17"/>
  <c r="U17" i="17"/>
  <c r="Q27" i="17"/>
  <c r="P27" i="17"/>
  <c r="O27" i="17"/>
  <c r="W85" i="17"/>
  <c r="V85" i="17"/>
  <c r="U85" i="17"/>
  <c r="Q29" i="17"/>
  <c r="Q16" i="17"/>
  <c r="P12" i="17"/>
  <c r="P81" i="17"/>
  <c r="V23" i="17"/>
  <c r="W56" i="17"/>
  <c r="V52" i="17"/>
  <c r="AB23" i="17"/>
  <c r="V81" i="17"/>
  <c r="AC23" i="17"/>
  <c r="AC27" i="17" s="1"/>
  <c r="AB81" i="17"/>
  <c r="O85" i="17" l="1"/>
  <c r="O76" i="17"/>
  <c r="P16" i="17"/>
  <c r="Q58" i="17"/>
  <c r="AC58" i="17"/>
  <c r="AA16" i="17"/>
  <c r="AB16" i="17"/>
  <c r="U76" i="17"/>
  <c r="AC57" i="17"/>
  <c r="AC18" i="17"/>
  <c r="AC16" i="17"/>
  <c r="O28" i="17"/>
  <c r="P28" i="17"/>
  <c r="O29" i="17"/>
  <c r="U45" i="17"/>
  <c r="W45" i="17"/>
  <c r="V56" i="17"/>
  <c r="AB56" i="17"/>
  <c r="AB47" i="17"/>
  <c r="AA56" i="17"/>
  <c r="AC46" i="17"/>
  <c r="O47" i="17"/>
  <c r="O16" i="17"/>
  <c r="Q47" i="17"/>
  <c r="P76" i="17"/>
  <c r="AC56" i="17"/>
  <c r="Q76" i="17"/>
  <c r="AA47" i="17"/>
  <c r="Q85" i="17"/>
  <c r="AA74" i="17"/>
  <c r="AB18" i="17"/>
  <c r="AB46" i="17"/>
  <c r="AB74" i="17"/>
  <c r="AA45" i="17"/>
  <c r="Q74" i="17"/>
  <c r="AC76" i="17"/>
  <c r="AC45" i="17"/>
  <c r="AC47" i="17"/>
  <c r="O74" i="17"/>
  <c r="P74" i="17"/>
  <c r="AB76" i="17"/>
  <c r="V76" i="17"/>
  <c r="W76" i="17"/>
  <c r="U74" i="17"/>
  <c r="U47" i="17"/>
  <c r="V74" i="17"/>
  <c r="W74" i="17"/>
  <c r="V47" i="17"/>
  <c r="U16" i="17"/>
  <c r="AB75" i="17"/>
  <c r="O45" i="17"/>
  <c r="P45" i="17"/>
  <c r="AA76" i="17"/>
  <c r="P47" i="17"/>
  <c r="Q46" i="17"/>
  <c r="P56" i="17"/>
  <c r="V18" i="17"/>
  <c r="W47" i="17"/>
  <c r="U27" i="17"/>
  <c r="W27" i="17"/>
  <c r="U18" i="17"/>
  <c r="V16" i="17"/>
  <c r="AB58" i="17"/>
  <c r="W18" i="17"/>
  <c r="Q57" i="17"/>
  <c r="O46" i="17"/>
  <c r="P29" i="17"/>
  <c r="P58" i="17"/>
  <c r="AA57" i="17"/>
  <c r="O57" i="17"/>
  <c r="AC75" i="17"/>
  <c r="AB57" i="17"/>
  <c r="P57" i="17"/>
  <c r="AA58" i="17"/>
  <c r="O58" i="17"/>
  <c r="O56" i="17"/>
  <c r="Q45" i="17"/>
  <c r="AC29" i="17"/>
  <c r="AB29" i="17"/>
  <c r="AC28" i="17"/>
  <c r="AA29" i="17"/>
  <c r="AB28" i="17"/>
  <c r="AA28" i="17"/>
  <c r="AC87" i="17"/>
  <c r="AB87" i="17"/>
  <c r="AC86" i="17"/>
  <c r="AA87" i="17"/>
  <c r="AB86" i="17"/>
  <c r="AA86" i="17"/>
  <c r="U28" i="17"/>
  <c r="V29" i="17"/>
  <c r="W28" i="17"/>
  <c r="W29" i="17"/>
  <c r="U29" i="17"/>
  <c r="V28" i="17"/>
  <c r="P18" i="17"/>
  <c r="Q17" i="17"/>
  <c r="O18" i="17"/>
  <c r="P17" i="17"/>
  <c r="O17" i="17"/>
  <c r="Q18" i="17"/>
  <c r="AB27" i="17"/>
  <c r="AA27" i="17"/>
  <c r="O87" i="17"/>
  <c r="P86" i="17"/>
  <c r="O86" i="17"/>
  <c r="Q87" i="17"/>
  <c r="P87" i="17"/>
  <c r="Q86" i="17"/>
  <c r="W87" i="17"/>
  <c r="V87" i="17"/>
  <c r="W86" i="17"/>
  <c r="U87" i="17"/>
  <c r="V86" i="17"/>
  <c r="U86" i="17"/>
  <c r="W58" i="17"/>
  <c r="V58" i="17"/>
  <c r="W57" i="17"/>
  <c r="U58" i="17"/>
  <c r="V57" i="17"/>
  <c r="U57" i="17"/>
  <c r="C53" i="6" l="1"/>
  <c r="C52" i="6"/>
  <c r="C28" i="6"/>
  <c r="C27" i="6"/>
  <c r="C3" i="6"/>
  <c r="C2" i="6"/>
  <c r="R53" i="1"/>
  <c r="L53" i="6" s="1"/>
  <c r="Q53" i="1"/>
  <c r="K53" i="6" s="1"/>
  <c r="P53" i="1"/>
  <c r="R52" i="1"/>
  <c r="L52" i="6" s="1"/>
  <c r="Q52" i="1"/>
  <c r="K52" i="6" s="1"/>
  <c r="P52" i="1"/>
  <c r="N53" i="1"/>
  <c r="G53" i="6" s="1"/>
  <c r="M53" i="1"/>
  <c r="F53" i="6" s="1"/>
  <c r="L53" i="1"/>
  <c r="N52" i="1"/>
  <c r="G52" i="6" s="1"/>
  <c r="M52" i="1"/>
  <c r="F52" i="6" s="1"/>
  <c r="L52" i="1"/>
  <c r="J53" i="1"/>
  <c r="I53" i="1"/>
  <c r="J52" i="1"/>
  <c r="I52" i="1"/>
  <c r="H53" i="1"/>
  <c r="D53" i="6" s="1"/>
  <c r="H52" i="1"/>
  <c r="D52" i="6" s="1"/>
  <c r="H54" i="1"/>
  <c r="R28" i="1"/>
  <c r="Q28" i="1"/>
  <c r="K28" i="6" s="1"/>
  <c r="P28" i="1"/>
  <c r="R27" i="1"/>
  <c r="L27" i="6" s="1"/>
  <c r="Q27" i="1"/>
  <c r="P27" i="1"/>
  <c r="N28" i="1"/>
  <c r="G28" i="6" s="1"/>
  <c r="M28" i="1"/>
  <c r="F28" i="6" s="1"/>
  <c r="L28" i="1"/>
  <c r="N27" i="1"/>
  <c r="G27" i="6" s="1"/>
  <c r="M27" i="1"/>
  <c r="F27" i="6" s="1"/>
  <c r="H27" i="6" s="1"/>
  <c r="L27" i="1"/>
  <c r="J28" i="1"/>
  <c r="I28" i="1"/>
  <c r="J27" i="1"/>
  <c r="I27" i="1"/>
  <c r="H28" i="1"/>
  <c r="D28" i="6" s="1"/>
  <c r="H27" i="1"/>
  <c r="D27" i="6" s="1"/>
  <c r="H29" i="1"/>
  <c r="R3" i="1"/>
  <c r="L3" i="6" s="1"/>
  <c r="Q3" i="1"/>
  <c r="K3" i="6" s="1"/>
  <c r="P3" i="1"/>
  <c r="R2" i="1"/>
  <c r="L2" i="6" s="1"/>
  <c r="Q2" i="1"/>
  <c r="M2" i="6" s="1"/>
  <c r="P2" i="1"/>
  <c r="N3" i="1"/>
  <c r="G3" i="6" s="1"/>
  <c r="M3" i="1"/>
  <c r="F3" i="6" s="1"/>
  <c r="L3" i="1"/>
  <c r="N2" i="1"/>
  <c r="G2" i="6" s="1"/>
  <c r="I2" i="6" s="1"/>
  <c r="M2" i="1"/>
  <c r="F2" i="6" s="1"/>
  <c r="H2" i="6" s="1"/>
  <c r="L2" i="1"/>
  <c r="J3" i="1"/>
  <c r="I3" i="1"/>
  <c r="J2" i="1"/>
  <c r="I2" i="1"/>
  <c r="H3" i="1"/>
  <c r="D3" i="6" s="1"/>
  <c r="H2" i="1"/>
  <c r="D2" i="6" s="1"/>
  <c r="E2" i="6" s="1"/>
  <c r="H4" i="1"/>
  <c r="I27" i="6" l="1"/>
  <c r="E28" i="6"/>
  <c r="N28" i="6"/>
  <c r="H28" i="6"/>
  <c r="J28" i="6" s="1"/>
  <c r="H52" i="6"/>
  <c r="J52" i="6" s="1"/>
  <c r="I28" i="6"/>
  <c r="I52" i="6"/>
  <c r="E27" i="6"/>
  <c r="M27" i="6"/>
  <c r="H53" i="6"/>
  <c r="J53" i="6" s="1"/>
  <c r="I53" i="6"/>
  <c r="E53" i="6"/>
  <c r="H3" i="6"/>
  <c r="I3" i="6"/>
  <c r="J2" i="6"/>
  <c r="K2" i="6"/>
  <c r="N2" i="6"/>
  <c r="O2" i="6" s="1"/>
  <c r="L28" i="6"/>
  <c r="N3" i="6"/>
  <c r="K27" i="6"/>
  <c r="M28" i="6"/>
  <c r="N27" i="6"/>
  <c r="O27" i="6" s="1"/>
  <c r="N53" i="6"/>
  <c r="N52" i="6"/>
  <c r="M53" i="6"/>
  <c r="E52" i="6"/>
  <c r="M52" i="6"/>
  <c r="J27" i="6"/>
  <c r="E3" i="6"/>
  <c r="M3" i="6"/>
  <c r="K3" i="5"/>
  <c r="E3" i="1" s="1"/>
  <c r="K2" i="5"/>
  <c r="E2" i="1" s="1"/>
  <c r="K59" i="5"/>
  <c r="K58" i="5"/>
  <c r="K34" i="5"/>
  <c r="K33" i="5"/>
  <c r="K9" i="5"/>
  <c r="K8" i="5"/>
  <c r="G8" i="5"/>
  <c r="K53" i="5"/>
  <c r="E53" i="1" s="1"/>
  <c r="K52" i="5"/>
  <c r="E52" i="1" s="1"/>
  <c r="G53" i="5"/>
  <c r="D53" i="1" s="1"/>
  <c r="G52" i="5"/>
  <c r="D52" i="1" s="1"/>
  <c r="C53" i="5"/>
  <c r="C53" i="1" s="1"/>
  <c r="C52" i="5"/>
  <c r="C52" i="1" s="1"/>
  <c r="K28" i="5"/>
  <c r="E28" i="1" s="1"/>
  <c r="K27" i="5"/>
  <c r="E27" i="1" s="1"/>
  <c r="G28" i="5"/>
  <c r="D28" i="1" s="1"/>
  <c r="G27" i="5"/>
  <c r="D27" i="1" s="1"/>
  <c r="C28" i="5"/>
  <c r="C28" i="1" s="1"/>
  <c r="C27" i="5"/>
  <c r="C27" i="1" s="1"/>
  <c r="G3" i="5"/>
  <c r="D3" i="1" s="1"/>
  <c r="G2" i="5"/>
  <c r="D2" i="1" s="1"/>
  <c r="C3" i="5"/>
  <c r="C3" i="1" s="1"/>
  <c r="C2" i="5"/>
  <c r="C2" i="1" s="1"/>
  <c r="O28" i="6" l="1"/>
  <c r="P28" i="6" s="1"/>
  <c r="J3" i="6"/>
  <c r="P2" i="6"/>
  <c r="O52" i="6"/>
  <c r="P52" i="6" s="1"/>
  <c r="O3" i="6"/>
  <c r="P3" i="6" s="1"/>
  <c r="P27" i="6"/>
  <c r="O53" i="6"/>
  <c r="P53" i="6" s="1"/>
  <c r="K75" i="5" l="1"/>
  <c r="E75" i="1" s="1"/>
  <c r="K74" i="5"/>
  <c r="E74" i="1" s="1"/>
  <c r="K73" i="5"/>
  <c r="E73" i="1" s="1"/>
  <c r="K72" i="5"/>
  <c r="E72" i="1" s="1"/>
  <c r="K71" i="5"/>
  <c r="E71" i="1" s="1"/>
  <c r="K70" i="5"/>
  <c r="E70" i="1" s="1"/>
  <c r="K69" i="5"/>
  <c r="E69" i="1" s="1"/>
  <c r="K68" i="5"/>
  <c r="E68" i="1" s="1"/>
  <c r="K67" i="5"/>
  <c r="E67" i="1" s="1"/>
  <c r="K66" i="5"/>
  <c r="E66" i="1" s="1"/>
  <c r="K65" i="5"/>
  <c r="E65" i="1" s="1"/>
  <c r="K64" i="5"/>
  <c r="E64" i="1" s="1"/>
  <c r="K63" i="5"/>
  <c r="E63" i="1" s="1"/>
  <c r="K62" i="5"/>
  <c r="E62" i="1" s="1"/>
  <c r="K61" i="5"/>
  <c r="E61" i="1" s="1"/>
  <c r="K60" i="5"/>
  <c r="E60" i="1" s="1"/>
  <c r="E59" i="1"/>
  <c r="E58" i="1"/>
  <c r="K57" i="5"/>
  <c r="E57" i="1" s="1"/>
  <c r="K56" i="5"/>
  <c r="E56" i="1" s="1"/>
  <c r="K55" i="5"/>
  <c r="E55" i="1" s="1"/>
  <c r="K54" i="5"/>
  <c r="E54" i="1" s="1"/>
  <c r="G75" i="5"/>
  <c r="D75" i="1" s="1"/>
  <c r="G74" i="5"/>
  <c r="D74" i="1" s="1"/>
  <c r="G73" i="5"/>
  <c r="D73" i="1" s="1"/>
  <c r="G72" i="5"/>
  <c r="D72" i="1" s="1"/>
  <c r="G71" i="5"/>
  <c r="D71" i="1" s="1"/>
  <c r="G70" i="5"/>
  <c r="D70" i="1" s="1"/>
  <c r="G69" i="5"/>
  <c r="D69" i="1" s="1"/>
  <c r="G68" i="5"/>
  <c r="D68" i="1" s="1"/>
  <c r="G67" i="5"/>
  <c r="D67" i="1" s="1"/>
  <c r="G66" i="5"/>
  <c r="D66" i="1" s="1"/>
  <c r="G65" i="5"/>
  <c r="D65" i="1" s="1"/>
  <c r="G64" i="5"/>
  <c r="D64" i="1" s="1"/>
  <c r="G63" i="5"/>
  <c r="D63" i="1" s="1"/>
  <c r="G62" i="5"/>
  <c r="D62" i="1" s="1"/>
  <c r="G61" i="5"/>
  <c r="D61" i="1" s="1"/>
  <c r="G60" i="5"/>
  <c r="D60" i="1" s="1"/>
  <c r="G59" i="5"/>
  <c r="D59" i="1" s="1"/>
  <c r="G58" i="5"/>
  <c r="D58" i="1" s="1"/>
  <c r="G57" i="5"/>
  <c r="D57" i="1" s="1"/>
  <c r="G56" i="5"/>
  <c r="D56" i="1" s="1"/>
  <c r="G55" i="5"/>
  <c r="D55" i="1" s="1"/>
  <c r="G54" i="5"/>
  <c r="D54" i="1" s="1"/>
  <c r="C75" i="5"/>
  <c r="C75" i="1" s="1"/>
  <c r="C74" i="5"/>
  <c r="C74" i="1" s="1"/>
  <c r="C73" i="5"/>
  <c r="C73" i="1" s="1"/>
  <c r="C72" i="5"/>
  <c r="C72" i="1" s="1"/>
  <c r="C71" i="5"/>
  <c r="C71" i="1" s="1"/>
  <c r="C70" i="5"/>
  <c r="C70" i="1" s="1"/>
  <c r="C69" i="5"/>
  <c r="C69" i="1" s="1"/>
  <c r="C68" i="5"/>
  <c r="C68" i="1" s="1"/>
  <c r="C67" i="5"/>
  <c r="C67" i="1" s="1"/>
  <c r="C66" i="5"/>
  <c r="C66" i="1" s="1"/>
  <c r="C65" i="5"/>
  <c r="C65" i="1" s="1"/>
  <c r="C64" i="5"/>
  <c r="C64" i="1" s="1"/>
  <c r="C63" i="5"/>
  <c r="C63" i="1" s="1"/>
  <c r="C62" i="5"/>
  <c r="C62" i="1" s="1"/>
  <c r="C61" i="5"/>
  <c r="C61" i="1" s="1"/>
  <c r="C60" i="5"/>
  <c r="C60" i="1" s="1"/>
  <c r="C59" i="5"/>
  <c r="C59" i="1" s="1"/>
  <c r="C58" i="5"/>
  <c r="C58" i="1" s="1"/>
  <c r="C57" i="5"/>
  <c r="C57" i="1" s="1"/>
  <c r="C56" i="5"/>
  <c r="C56" i="1" s="1"/>
  <c r="C55" i="5"/>
  <c r="C55" i="1" s="1"/>
  <c r="C54" i="5"/>
  <c r="C54" i="1" s="1"/>
  <c r="K50" i="5"/>
  <c r="E50" i="1" s="1"/>
  <c r="K49" i="5"/>
  <c r="E49" i="1" s="1"/>
  <c r="K48" i="5"/>
  <c r="E48" i="1" s="1"/>
  <c r="K47" i="5"/>
  <c r="E47" i="1" s="1"/>
  <c r="K46" i="5"/>
  <c r="E46" i="1" s="1"/>
  <c r="K45" i="5"/>
  <c r="E45" i="1" s="1"/>
  <c r="K44" i="5"/>
  <c r="E44" i="1" s="1"/>
  <c r="K43" i="5"/>
  <c r="E43" i="1" s="1"/>
  <c r="K42" i="5"/>
  <c r="E42" i="1" s="1"/>
  <c r="K41" i="5"/>
  <c r="E41" i="1" s="1"/>
  <c r="K40" i="5"/>
  <c r="E40" i="1" s="1"/>
  <c r="K39" i="5"/>
  <c r="E39" i="1" s="1"/>
  <c r="K38" i="5"/>
  <c r="E38" i="1" s="1"/>
  <c r="K37" i="5"/>
  <c r="E37" i="1" s="1"/>
  <c r="K36" i="5"/>
  <c r="E36" i="1" s="1"/>
  <c r="K35" i="5"/>
  <c r="E35" i="1" s="1"/>
  <c r="E34" i="1"/>
  <c r="E33" i="1"/>
  <c r="K32" i="5"/>
  <c r="E32" i="1" s="1"/>
  <c r="K31" i="5"/>
  <c r="E31" i="1" s="1"/>
  <c r="K30" i="5"/>
  <c r="E30" i="1" s="1"/>
  <c r="K29" i="5"/>
  <c r="E29" i="1" s="1"/>
  <c r="G50" i="5"/>
  <c r="D50" i="1" s="1"/>
  <c r="G49" i="5"/>
  <c r="D49" i="1" s="1"/>
  <c r="G48" i="5"/>
  <c r="D48" i="1" s="1"/>
  <c r="G47" i="5"/>
  <c r="D47" i="1" s="1"/>
  <c r="G46" i="5"/>
  <c r="D46" i="1" s="1"/>
  <c r="G45" i="5"/>
  <c r="D45" i="1" s="1"/>
  <c r="G44" i="5"/>
  <c r="D44" i="1" s="1"/>
  <c r="G43" i="5"/>
  <c r="D43" i="1" s="1"/>
  <c r="G42" i="5"/>
  <c r="D42" i="1" s="1"/>
  <c r="G41" i="5"/>
  <c r="D41" i="1" s="1"/>
  <c r="G40" i="5"/>
  <c r="D40" i="1" s="1"/>
  <c r="G39" i="5"/>
  <c r="D39" i="1" s="1"/>
  <c r="G38" i="5"/>
  <c r="D38" i="1" s="1"/>
  <c r="G37" i="5"/>
  <c r="D37" i="1" s="1"/>
  <c r="G36" i="5"/>
  <c r="D36" i="1" s="1"/>
  <c r="G35" i="5"/>
  <c r="D35" i="1" s="1"/>
  <c r="G34" i="5"/>
  <c r="D34" i="1" s="1"/>
  <c r="G33" i="5"/>
  <c r="D33" i="1" s="1"/>
  <c r="G32" i="5"/>
  <c r="D32" i="1" s="1"/>
  <c r="G31" i="5"/>
  <c r="D31" i="1" s="1"/>
  <c r="G30" i="5"/>
  <c r="D30" i="1" s="1"/>
  <c r="G29" i="5"/>
  <c r="D29" i="1" s="1"/>
  <c r="C50" i="5"/>
  <c r="C50" i="1" s="1"/>
  <c r="C49" i="5"/>
  <c r="C49" i="1" s="1"/>
  <c r="C48" i="5"/>
  <c r="C48" i="1" s="1"/>
  <c r="C47" i="5"/>
  <c r="C47" i="1" s="1"/>
  <c r="C46" i="5"/>
  <c r="C46" i="1" s="1"/>
  <c r="C45" i="5"/>
  <c r="C45" i="1" s="1"/>
  <c r="C44" i="5"/>
  <c r="C44" i="1" s="1"/>
  <c r="C43" i="5"/>
  <c r="C43" i="1" s="1"/>
  <c r="C42" i="5"/>
  <c r="C42" i="1" s="1"/>
  <c r="C41" i="5"/>
  <c r="C41" i="1" s="1"/>
  <c r="C40" i="5"/>
  <c r="C40" i="1" s="1"/>
  <c r="C39" i="5"/>
  <c r="C39" i="1" s="1"/>
  <c r="C38" i="5"/>
  <c r="C38" i="1" s="1"/>
  <c r="C37" i="5"/>
  <c r="C37" i="1" s="1"/>
  <c r="C36" i="5"/>
  <c r="C36" i="1" s="1"/>
  <c r="C35" i="5"/>
  <c r="C35" i="1" s="1"/>
  <c r="C34" i="5"/>
  <c r="C34" i="1" s="1"/>
  <c r="C33" i="5"/>
  <c r="C33" i="1" s="1"/>
  <c r="C32" i="5"/>
  <c r="C32" i="1" s="1"/>
  <c r="C31" i="5"/>
  <c r="C31" i="1" s="1"/>
  <c r="C30" i="5"/>
  <c r="C30" i="1" s="1"/>
  <c r="C29" i="5"/>
  <c r="C29" i="1" s="1"/>
  <c r="K13" i="5"/>
  <c r="E13" i="1" s="1"/>
  <c r="K12" i="5"/>
  <c r="E12" i="1" s="1"/>
  <c r="E8" i="1"/>
  <c r="E9" i="1"/>
  <c r="G13" i="5"/>
  <c r="D13" i="1" s="1"/>
  <c r="G12" i="5"/>
  <c r="D12" i="1" s="1"/>
  <c r="G9" i="5"/>
  <c r="D9" i="1" s="1"/>
  <c r="D8" i="1"/>
  <c r="K25" i="5"/>
  <c r="E25" i="1" s="1"/>
  <c r="K24" i="5"/>
  <c r="E24" i="1" s="1"/>
  <c r="K23" i="5"/>
  <c r="E23" i="1" s="1"/>
  <c r="K22" i="5"/>
  <c r="E22" i="1" s="1"/>
  <c r="K21" i="5"/>
  <c r="E21" i="1" s="1"/>
  <c r="K20" i="5"/>
  <c r="E20" i="1" s="1"/>
  <c r="K19" i="5"/>
  <c r="E19" i="1" s="1"/>
  <c r="K18" i="5"/>
  <c r="E18" i="1" s="1"/>
  <c r="K17" i="5"/>
  <c r="E17" i="1" s="1"/>
  <c r="K16" i="5"/>
  <c r="E16" i="1" s="1"/>
  <c r="K15" i="5"/>
  <c r="E15" i="1" s="1"/>
  <c r="K14" i="5"/>
  <c r="E14" i="1" s="1"/>
  <c r="K11" i="5"/>
  <c r="E11" i="1" s="1"/>
  <c r="K10" i="5"/>
  <c r="E10" i="1" s="1"/>
  <c r="K7" i="5"/>
  <c r="E7" i="1" s="1"/>
  <c r="K6" i="5"/>
  <c r="E6" i="1" s="1"/>
  <c r="K5" i="5"/>
  <c r="E5" i="1" s="1"/>
  <c r="K4" i="5"/>
  <c r="E4" i="1" s="1"/>
  <c r="G25" i="5"/>
  <c r="D25" i="1" s="1"/>
  <c r="G24" i="5"/>
  <c r="D24" i="1" s="1"/>
  <c r="G23" i="5"/>
  <c r="D23" i="1" s="1"/>
  <c r="G22" i="5"/>
  <c r="D22" i="1" s="1"/>
  <c r="G21" i="5"/>
  <c r="D21" i="1" s="1"/>
  <c r="G20" i="5"/>
  <c r="D20" i="1" s="1"/>
  <c r="G19" i="5"/>
  <c r="D19" i="1" s="1"/>
  <c r="G18" i="5"/>
  <c r="D18" i="1" s="1"/>
  <c r="G17" i="5"/>
  <c r="D17" i="1" s="1"/>
  <c r="G16" i="5"/>
  <c r="D16" i="1" s="1"/>
  <c r="G15" i="5"/>
  <c r="D15" i="1" s="1"/>
  <c r="G14" i="5"/>
  <c r="D14" i="1" s="1"/>
  <c r="G11" i="5"/>
  <c r="D11" i="1" s="1"/>
  <c r="G10" i="5"/>
  <c r="D10" i="1" s="1"/>
  <c r="G7" i="5"/>
  <c r="D7" i="1" s="1"/>
  <c r="G6" i="5"/>
  <c r="D6" i="1" s="1"/>
  <c r="G5" i="5"/>
  <c r="D5" i="1" s="1"/>
  <c r="G4" i="5"/>
  <c r="D4" i="1" s="1"/>
  <c r="C25" i="5"/>
  <c r="C25" i="1" s="1"/>
  <c r="C24" i="5"/>
  <c r="C24" i="1" s="1"/>
  <c r="C23" i="5"/>
  <c r="C23" i="1" s="1"/>
  <c r="C22" i="5"/>
  <c r="C22" i="1" s="1"/>
  <c r="C21" i="5"/>
  <c r="C21" i="1" s="1"/>
  <c r="C20" i="5"/>
  <c r="C20" i="1" s="1"/>
  <c r="C19" i="5"/>
  <c r="C19" i="1" s="1"/>
  <c r="C18" i="5"/>
  <c r="C18" i="1" s="1"/>
  <c r="C17" i="5"/>
  <c r="C17" i="1" s="1"/>
  <c r="C16" i="5"/>
  <c r="C16" i="1" s="1"/>
  <c r="C15" i="5"/>
  <c r="C15" i="1" s="1"/>
  <c r="C14" i="5"/>
  <c r="C14" i="1" s="1"/>
  <c r="C13" i="5"/>
  <c r="C13" i="1" s="1"/>
  <c r="C12" i="5"/>
  <c r="C12" i="1" s="1"/>
  <c r="C11" i="5"/>
  <c r="C11" i="1" s="1"/>
  <c r="C10" i="5"/>
  <c r="C10" i="1" s="1"/>
  <c r="C9" i="5"/>
  <c r="C9" i="1" s="1"/>
  <c r="C8" i="5"/>
  <c r="C8" i="1" s="1"/>
  <c r="C7" i="5"/>
  <c r="C7" i="1" s="1"/>
  <c r="C6" i="5"/>
  <c r="C6" i="1" s="1"/>
  <c r="C5" i="5"/>
  <c r="C5" i="1" s="1"/>
  <c r="C4" i="5"/>
  <c r="C4" i="1" s="1"/>
  <c r="C75" i="6" l="1"/>
  <c r="C74" i="6"/>
  <c r="C73" i="6"/>
  <c r="C72" i="6"/>
  <c r="C71" i="6"/>
  <c r="C70" i="6"/>
  <c r="C69" i="6"/>
  <c r="C68" i="6"/>
  <c r="C67" i="6"/>
  <c r="C66" i="6"/>
  <c r="C65" i="6"/>
  <c r="C64" i="6"/>
  <c r="C61" i="6"/>
  <c r="C60" i="6"/>
  <c r="C57" i="6"/>
  <c r="C56" i="6"/>
  <c r="C55" i="6"/>
  <c r="C54" i="6"/>
  <c r="C50" i="6"/>
  <c r="C49" i="6"/>
  <c r="C48" i="6"/>
  <c r="C47" i="6"/>
  <c r="C46" i="6"/>
  <c r="C45" i="6"/>
  <c r="C44" i="6"/>
  <c r="C43" i="6"/>
  <c r="C42" i="6"/>
  <c r="C41" i="6"/>
  <c r="C40" i="6"/>
  <c r="C39" i="6"/>
  <c r="C36" i="6"/>
  <c r="C35" i="6"/>
  <c r="C32" i="6"/>
  <c r="C31" i="6"/>
  <c r="C30" i="6"/>
  <c r="C29" i="6"/>
  <c r="C25" i="6"/>
  <c r="C24" i="6"/>
  <c r="C23" i="6"/>
  <c r="C22" i="6"/>
  <c r="C21" i="6"/>
  <c r="C20" i="6"/>
  <c r="C19" i="6"/>
  <c r="C18" i="6"/>
  <c r="C17" i="6"/>
  <c r="C16" i="6"/>
  <c r="C15" i="6"/>
  <c r="C14" i="6"/>
  <c r="C11" i="6"/>
  <c r="C10" i="6"/>
  <c r="C7" i="6"/>
  <c r="C6" i="6"/>
  <c r="C5" i="6"/>
  <c r="C4" i="6"/>
  <c r="R75" i="1" l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1" i="1"/>
  <c r="Q61" i="1"/>
  <c r="P61" i="1"/>
  <c r="R60" i="1"/>
  <c r="Q60" i="1"/>
  <c r="P60" i="1"/>
  <c r="R57" i="1"/>
  <c r="Q57" i="1"/>
  <c r="P57" i="1"/>
  <c r="R56" i="1"/>
  <c r="Q56" i="1"/>
  <c r="P56" i="1"/>
  <c r="N75" i="1"/>
  <c r="G75" i="6" s="1"/>
  <c r="I75" i="6" s="1"/>
  <c r="M75" i="1"/>
  <c r="F75" i="6" s="1"/>
  <c r="H75" i="6" s="1"/>
  <c r="L75" i="1"/>
  <c r="N74" i="1"/>
  <c r="G74" i="6" s="1"/>
  <c r="I74" i="6" s="1"/>
  <c r="M74" i="1"/>
  <c r="F74" i="6" s="1"/>
  <c r="H74" i="6" s="1"/>
  <c r="L74" i="1"/>
  <c r="N73" i="1"/>
  <c r="G73" i="6" s="1"/>
  <c r="I73" i="6" s="1"/>
  <c r="M73" i="1"/>
  <c r="F73" i="6" s="1"/>
  <c r="H73" i="6" s="1"/>
  <c r="L73" i="1"/>
  <c r="N72" i="1"/>
  <c r="G72" i="6" s="1"/>
  <c r="I72" i="6" s="1"/>
  <c r="M72" i="1"/>
  <c r="F72" i="6" s="1"/>
  <c r="H72" i="6" s="1"/>
  <c r="L72" i="1"/>
  <c r="N71" i="1"/>
  <c r="G71" i="6" s="1"/>
  <c r="I71" i="6" s="1"/>
  <c r="M71" i="1"/>
  <c r="F71" i="6" s="1"/>
  <c r="H71" i="6" s="1"/>
  <c r="L71" i="1"/>
  <c r="N70" i="1"/>
  <c r="G70" i="6" s="1"/>
  <c r="I70" i="6" s="1"/>
  <c r="M70" i="1"/>
  <c r="F70" i="6" s="1"/>
  <c r="H70" i="6" s="1"/>
  <c r="L70" i="1"/>
  <c r="N69" i="1"/>
  <c r="G69" i="6" s="1"/>
  <c r="I69" i="6" s="1"/>
  <c r="M69" i="1"/>
  <c r="F69" i="6" s="1"/>
  <c r="H69" i="6" s="1"/>
  <c r="L69" i="1"/>
  <c r="N68" i="1"/>
  <c r="G68" i="6" s="1"/>
  <c r="I68" i="6" s="1"/>
  <c r="M68" i="1"/>
  <c r="F68" i="6" s="1"/>
  <c r="H68" i="6" s="1"/>
  <c r="L68" i="1"/>
  <c r="N67" i="1"/>
  <c r="G67" i="6" s="1"/>
  <c r="I67" i="6" s="1"/>
  <c r="M67" i="1"/>
  <c r="F67" i="6" s="1"/>
  <c r="H67" i="6" s="1"/>
  <c r="L67" i="1"/>
  <c r="N66" i="1"/>
  <c r="G66" i="6" s="1"/>
  <c r="I66" i="6" s="1"/>
  <c r="M66" i="1"/>
  <c r="F66" i="6" s="1"/>
  <c r="H66" i="6" s="1"/>
  <c r="L66" i="1"/>
  <c r="N65" i="1"/>
  <c r="G65" i="6" s="1"/>
  <c r="I65" i="6" s="1"/>
  <c r="M65" i="1"/>
  <c r="F65" i="6" s="1"/>
  <c r="H65" i="6" s="1"/>
  <c r="L65" i="1"/>
  <c r="N64" i="1"/>
  <c r="G64" i="6" s="1"/>
  <c r="I64" i="6" s="1"/>
  <c r="M64" i="1"/>
  <c r="F64" i="6" s="1"/>
  <c r="H64" i="6" s="1"/>
  <c r="L64" i="1"/>
  <c r="N61" i="1"/>
  <c r="G61" i="6" s="1"/>
  <c r="I61" i="6" s="1"/>
  <c r="M61" i="1"/>
  <c r="F61" i="6" s="1"/>
  <c r="H61" i="6" s="1"/>
  <c r="L61" i="1"/>
  <c r="N60" i="1"/>
  <c r="G60" i="6" s="1"/>
  <c r="I60" i="6" s="1"/>
  <c r="M60" i="1"/>
  <c r="F60" i="6" s="1"/>
  <c r="H60" i="6" s="1"/>
  <c r="L60" i="1"/>
  <c r="N57" i="1"/>
  <c r="G57" i="6" s="1"/>
  <c r="I57" i="6" s="1"/>
  <c r="M57" i="1"/>
  <c r="F57" i="6" s="1"/>
  <c r="H57" i="6" s="1"/>
  <c r="L57" i="1"/>
  <c r="N56" i="1"/>
  <c r="G56" i="6" s="1"/>
  <c r="I56" i="6" s="1"/>
  <c r="M56" i="1"/>
  <c r="F56" i="6" s="1"/>
  <c r="H56" i="6" s="1"/>
  <c r="L5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1" i="1"/>
  <c r="I61" i="1"/>
  <c r="J60" i="1"/>
  <c r="I60" i="1"/>
  <c r="J57" i="1"/>
  <c r="I57" i="1"/>
  <c r="J56" i="1"/>
  <c r="I56" i="1"/>
  <c r="H75" i="1"/>
  <c r="D75" i="6" s="1"/>
  <c r="E75" i="6" s="1"/>
  <c r="H74" i="1"/>
  <c r="D74" i="6" s="1"/>
  <c r="E74" i="6" s="1"/>
  <c r="H73" i="1"/>
  <c r="D73" i="6" s="1"/>
  <c r="E73" i="6" s="1"/>
  <c r="H72" i="1"/>
  <c r="D72" i="6" s="1"/>
  <c r="E72" i="6" s="1"/>
  <c r="H71" i="1"/>
  <c r="D71" i="6" s="1"/>
  <c r="E71" i="6" s="1"/>
  <c r="H70" i="1"/>
  <c r="D70" i="6" s="1"/>
  <c r="E70" i="6" s="1"/>
  <c r="H69" i="1"/>
  <c r="D69" i="6" s="1"/>
  <c r="E69" i="6" s="1"/>
  <c r="H68" i="1"/>
  <c r="D68" i="6" s="1"/>
  <c r="E68" i="6" s="1"/>
  <c r="H67" i="1"/>
  <c r="D67" i="6" s="1"/>
  <c r="E67" i="6" s="1"/>
  <c r="H66" i="1"/>
  <c r="D66" i="6" s="1"/>
  <c r="E66" i="6" s="1"/>
  <c r="H65" i="1"/>
  <c r="D65" i="6" s="1"/>
  <c r="E65" i="6" s="1"/>
  <c r="H64" i="1"/>
  <c r="D64" i="6" s="1"/>
  <c r="E64" i="6" s="1"/>
  <c r="H61" i="1"/>
  <c r="D61" i="6" s="1"/>
  <c r="E61" i="6" s="1"/>
  <c r="H60" i="1"/>
  <c r="D60" i="6" s="1"/>
  <c r="E60" i="6" s="1"/>
  <c r="H57" i="1"/>
  <c r="D57" i="6" s="1"/>
  <c r="E57" i="6" s="1"/>
  <c r="H56" i="1"/>
  <c r="D56" i="6" s="1"/>
  <c r="E56" i="6" s="1"/>
  <c r="R55" i="1"/>
  <c r="Q55" i="1"/>
  <c r="P55" i="1"/>
  <c r="R54" i="1"/>
  <c r="Q54" i="1"/>
  <c r="P54" i="1"/>
  <c r="N55" i="1"/>
  <c r="G55" i="6" s="1"/>
  <c r="I55" i="6" s="1"/>
  <c r="M55" i="1"/>
  <c r="F55" i="6" s="1"/>
  <c r="H55" i="6" s="1"/>
  <c r="L55" i="1"/>
  <c r="N54" i="1"/>
  <c r="G54" i="6" s="1"/>
  <c r="I54" i="6" s="1"/>
  <c r="M54" i="1"/>
  <c r="F54" i="6" s="1"/>
  <c r="H54" i="6" s="1"/>
  <c r="L54" i="1"/>
  <c r="J55" i="1"/>
  <c r="I55" i="1"/>
  <c r="J54" i="1"/>
  <c r="I54" i="1"/>
  <c r="H55" i="1"/>
  <c r="D55" i="6" s="1"/>
  <c r="E55" i="6" s="1"/>
  <c r="D54" i="6"/>
  <c r="E54" i="6" s="1"/>
  <c r="R50" i="1"/>
  <c r="Q50" i="1"/>
  <c r="P50" i="1"/>
  <c r="R49" i="1"/>
  <c r="Q49" i="1"/>
  <c r="P49" i="1"/>
  <c r="N50" i="1"/>
  <c r="G50" i="6" s="1"/>
  <c r="I50" i="6" s="1"/>
  <c r="M50" i="1"/>
  <c r="F50" i="6" s="1"/>
  <c r="H50" i="6" s="1"/>
  <c r="L50" i="1"/>
  <c r="N49" i="1"/>
  <c r="G49" i="6" s="1"/>
  <c r="I49" i="6" s="1"/>
  <c r="M49" i="1"/>
  <c r="F49" i="6" s="1"/>
  <c r="H49" i="6" s="1"/>
  <c r="L49" i="1"/>
  <c r="J50" i="1"/>
  <c r="I50" i="1"/>
  <c r="J49" i="1"/>
  <c r="I49" i="1"/>
  <c r="H50" i="1"/>
  <c r="D50" i="6" s="1"/>
  <c r="E50" i="6" s="1"/>
  <c r="H49" i="1"/>
  <c r="D49" i="6" s="1"/>
  <c r="E49" i="6" s="1"/>
  <c r="R48" i="1"/>
  <c r="Q48" i="1"/>
  <c r="P48" i="1"/>
  <c r="R47" i="1"/>
  <c r="Q47" i="1"/>
  <c r="P47" i="1"/>
  <c r="N48" i="1"/>
  <c r="G48" i="6" s="1"/>
  <c r="I48" i="6" s="1"/>
  <c r="M48" i="1"/>
  <c r="F48" i="6" s="1"/>
  <c r="H48" i="6" s="1"/>
  <c r="L48" i="1"/>
  <c r="N47" i="1"/>
  <c r="G47" i="6" s="1"/>
  <c r="I47" i="6" s="1"/>
  <c r="M47" i="1"/>
  <c r="F47" i="6" s="1"/>
  <c r="H47" i="6" s="1"/>
  <c r="L47" i="1"/>
  <c r="J48" i="1"/>
  <c r="I48" i="1"/>
  <c r="J47" i="1"/>
  <c r="I47" i="1"/>
  <c r="H48" i="1"/>
  <c r="D48" i="6" s="1"/>
  <c r="E48" i="6" s="1"/>
  <c r="H47" i="1"/>
  <c r="D47" i="6" s="1"/>
  <c r="E47" i="6" s="1"/>
  <c r="R46" i="1"/>
  <c r="Q46" i="1"/>
  <c r="P46" i="1"/>
  <c r="R45" i="1"/>
  <c r="Q45" i="1"/>
  <c r="P45" i="1"/>
  <c r="N46" i="1"/>
  <c r="G46" i="6" s="1"/>
  <c r="I46" i="6" s="1"/>
  <c r="M46" i="1"/>
  <c r="F46" i="6" s="1"/>
  <c r="H46" i="6" s="1"/>
  <c r="L46" i="1"/>
  <c r="N45" i="1"/>
  <c r="G45" i="6" s="1"/>
  <c r="I45" i="6" s="1"/>
  <c r="M45" i="1"/>
  <c r="F45" i="6" s="1"/>
  <c r="H45" i="6" s="1"/>
  <c r="L45" i="1"/>
  <c r="J46" i="1"/>
  <c r="I46" i="1"/>
  <c r="J45" i="1"/>
  <c r="I45" i="1"/>
  <c r="H46" i="1"/>
  <c r="D46" i="6" s="1"/>
  <c r="E46" i="6" s="1"/>
  <c r="H45" i="1"/>
  <c r="D45" i="6" s="1"/>
  <c r="E45" i="6" s="1"/>
  <c r="J67" i="6" l="1"/>
  <c r="J66" i="6"/>
  <c r="J54" i="6"/>
  <c r="N75" i="6"/>
  <c r="L75" i="6"/>
  <c r="N74" i="6"/>
  <c r="L74" i="6"/>
  <c r="K75" i="6"/>
  <c r="M75" i="6"/>
  <c r="K74" i="6"/>
  <c r="M74" i="6"/>
  <c r="N72" i="6"/>
  <c r="L72" i="6"/>
  <c r="N73" i="6"/>
  <c r="L73" i="6"/>
  <c r="M72" i="6"/>
  <c r="K72" i="6"/>
  <c r="K73" i="6"/>
  <c r="M73" i="6"/>
  <c r="N70" i="6"/>
  <c r="L70" i="6"/>
  <c r="N71" i="6"/>
  <c r="L71" i="6"/>
  <c r="K71" i="6"/>
  <c r="M71" i="6"/>
  <c r="K70" i="6"/>
  <c r="M70" i="6"/>
  <c r="L69" i="6"/>
  <c r="N69" i="6"/>
  <c r="N68" i="6"/>
  <c r="L68" i="6"/>
  <c r="M68" i="6"/>
  <c r="K68" i="6"/>
  <c r="M69" i="6"/>
  <c r="K69" i="6"/>
  <c r="N67" i="6"/>
  <c r="L67" i="6"/>
  <c r="L66" i="6"/>
  <c r="N66" i="6"/>
  <c r="K66" i="6"/>
  <c r="M66" i="6"/>
  <c r="M67" i="6"/>
  <c r="K67" i="6"/>
  <c r="N65" i="6"/>
  <c r="L65" i="6"/>
  <c r="L64" i="6"/>
  <c r="N64" i="6"/>
  <c r="K64" i="6"/>
  <c r="M64" i="6"/>
  <c r="M65" i="6"/>
  <c r="K65" i="6"/>
  <c r="N60" i="6"/>
  <c r="L60" i="6"/>
  <c r="L61" i="6"/>
  <c r="N61" i="6"/>
  <c r="M61" i="6"/>
  <c r="K61" i="6"/>
  <c r="M60" i="6"/>
  <c r="K60" i="6"/>
  <c r="N56" i="6"/>
  <c r="L56" i="6"/>
  <c r="N57" i="6"/>
  <c r="L57" i="6"/>
  <c r="M57" i="6"/>
  <c r="K57" i="6"/>
  <c r="M56" i="6"/>
  <c r="K56" i="6"/>
  <c r="N55" i="6"/>
  <c r="L55" i="6"/>
  <c r="L54" i="6"/>
  <c r="N54" i="6"/>
  <c r="M54" i="6"/>
  <c r="K54" i="6"/>
  <c r="K55" i="6"/>
  <c r="M55" i="6"/>
  <c r="J74" i="6"/>
  <c r="J75" i="6"/>
  <c r="J72" i="6"/>
  <c r="J73" i="6"/>
  <c r="J70" i="6"/>
  <c r="J71" i="6"/>
  <c r="J69" i="6"/>
  <c r="J68" i="6"/>
  <c r="J64" i="6"/>
  <c r="J65" i="6"/>
  <c r="J61" i="6"/>
  <c r="J60" i="6"/>
  <c r="J57" i="6"/>
  <c r="J56" i="6"/>
  <c r="J55" i="6"/>
  <c r="L50" i="6"/>
  <c r="N50" i="6"/>
  <c r="N49" i="6"/>
  <c r="L49" i="6"/>
  <c r="M49" i="6"/>
  <c r="K49" i="6"/>
  <c r="M50" i="6"/>
  <c r="K50" i="6"/>
  <c r="L48" i="6"/>
  <c r="N48" i="6"/>
  <c r="N47" i="6"/>
  <c r="L47" i="6"/>
  <c r="K47" i="6"/>
  <c r="M47" i="6"/>
  <c r="M48" i="6"/>
  <c r="K48" i="6"/>
  <c r="N45" i="6"/>
  <c r="L45" i="6"/>
  <c r="N46" i="6"/>
  <c r="L46" i="6"/>
  <c r="M46" i="6"/>
  <c r="K46" i="6"/>
  <c r="M45" i="6"/>
  <c r="K45" i="6"/>
  <c r="J50" i="6"/>
  <c r="J49" i="6"/>
  <c r="J48" i="6"/>
  <c r="J47" i="6"/>
  <c r="J46" i="6"/>
  <c r="J45" i="6"/>
  <c r="R44" i="1"/>
  <c r="Q44" i="1"/>
  <c r="P44" i="1"/>
  <c r="R43" i="1"/>
  <c r="Q43" i="1"/>
  <c r="P43" i="1"/>
  <c r="N44" i="1"/>
  <c r="G44" i="6" s="1"/>
  <c r="I44" i="6" s="1"/>
  <c r="M44" i="1"/>
  <c r="F44" i="6" s="1"/>
  <c r="H44" i="6" s="1"/>
  <c r="L44" i="1"/>
  <c r="N43" i="1"/>
  <c r="G43" i="6" s="1"/>
  <c r="I43" i="6" s="1"/>
  <c r="M43" i="1"/>
  <c r="F43" i="6" s="1"/>
  <c r="H43" i="6" s="1"/>
  <c r="L43" i="1"/>
  <c r="J44" i="1"/>
  <c r="I44" i="1"/>
  <c r="J43" i="1"/>
  <c r="I43" i="1"/>
  <c r="H44" i="1"/>
  <c r="D44" i="6" s="1"/>
  <c r="E44" i="6" s="1"/>
  <c r="H43" i="1"/>
  <c r="D43" i="6" s="1"/>
  <c r="E43" i="6" s="1"/>
  <c r="R42" i="1"/>
  <c r="Q42" i="1"/>
  <c r="P42" i="1"/>
  <c r="R41" i="1"/>
  <c r="Q41" i="1"/>
  <c r="P41" i="1"/>
  <c r="N42" i="1"/>
  <c r="G42" i="6" s="1"/>
  <c r="I42" i="6" s="1"/>
  <c r="M42" i="1"/>
  <c r="F42" i="6" s="1"/>
  <c r="H42" i="6" s="1"/>
  <c r="L42" i="1"/>
  <c r="N41" i="1"/>
  <c r="G41" i="6" s="1"/>
  <c r="I41" i="6" s="1"/>
  <c r="M41" i="1"/>
  <c r="F41" i="6" s="1"/>
  <c r="H41" i="6" s="1"/>
  <c r="L41" i="1"/>
  <c r="J42" i="1"/>
  <c r="I42" i="1"/>
  <c r="J41" i="1"/>
  <c r="I41" i="1"/>
  <c r="H42" i="1"/>
  <c r="D42" i="6" s="1"/>
  <c r="E42" i="6" s="1"/>
  <c r="H41" i="1"/>
  <c r="D41" i="6" s="1"/>
  <c r="E41" i="6" s="1"/>
  <c r="R40" i="1"/>
  <c r="Q40" i="1"/>
  <c r="P40" i="1"/>
  <c r="N40" i="1"/>
  <c r="G40" i="6" s="1"/>
  <c r="I40" i="6" s="1"/>
  <c r="M40" i="1"/>
  <c r="F40" i="6" s="1"/>
  <c r="H40" i="6" s="1"/>
  <c r="L40" i="1"/>
  <c r="J40" i="1"/>
  <c r="I40" i="1"/>
  <c r="R39" i="1"/>
  <c r="Q39" i="1"/>
  <c r="P39" i="1"/>
  <c r="N39" i="1"/>
  <c r="G39" i="6" s="1"/>
  <c r="I39" i="6" s="1"/>
  <c r="M39" i="1"/>
  <c r="F39" i="6" s="1"/>
  <c r="H39" i="6" s="1"/>
  <c r="L39" i="1"/>
  <c r="J39" i="1"/>
  <c r="I39" i="1"/>
  <c r="H40" i="1"/>
  <c r="D40" i="6" s="1"/>
  <c r="E40" i="6" s="1"/>
  <c r="H39" i="1"/>
  <c r="D39" i="6" s="1"/>
  <c r="E39" i="6" s="1"/>
  <c r="R36" i="1"/>
  <c r="Q36" i="1"/>
  <c r="P36" i="1"/>
  <c r="R35" i="1"/>
  <c r="Q35" i="1"/>
  <c r="P35" i="1"/>
  <c r="N36" i="1"/>
  <c r="G36" i="6" s="1"/>
  <c r="I36" i="6" s="1"/>
  <c r="M36" i="1"/>
  <c r="F36" i="6" s="1"/>
  <c r="H36" i="6" s="1"/>
  <c r="L36" i="1"/>
  <c r="N35" i="1"/>
  <c r="G35" i="6" s="1"/>
  <c r="I35" i="6" s="1"/>
  <c r="M35" i="1"/>
  <c r="F35" i="6" s="1"/>
  <c r="H35" i="6" s="1"/>
  <c r="L35" i="1"/>
  <c r="J36" i="1"/>
  <c r="I36" i="1"/>
  <c r="J35" i="1"/>
  <c r="I35" i="1"/>
  <c r="H36" i="1"/>
  <c r="D36" i="6" s="1"/>
  <c r="E36" i="6" s="1"/>
  <c r="H35" i="1"/>
  <c r="D35" i="6" s="1"/>
  <c r="E35" i="6" s="1"/>
  <c r="R32" i="1"/>
  <c r="Q32" i="1"/>
  <c r="P32" i="1"/>
  <c r="R31" i="1"/>
  <c r="Q31" i="1"/>
  <c r="P31" i="1"/>
  <c r="N32" i="1"/>
  <c r="G32" i="6" s="1"/>
  <c r="I32" i="6" s="1"/>
  <c r="M32" i="1"/>
  <c r="F32" i="6" s="1"/>
  <c r="H32" i="6" s="1"/>
  <c r="L32" i="1"/>
  <c r="N31" i="1"/>
  <c r="G31" i="6" s="1"/>
  <c r="I31" i="6" s="1"/>
  <c r="M31" i="1"/>
  <c r="F31" i="6" s="1"/>
  <c r="H31" i="6" s="1"/>
  <c r="L31" i="1"/>
  <c r="J32" i="1"/>
  <c r="I32" i="1"/>
  <c r="J31" i="1"/>
  <c r="I31" i="1"/>
  <c r="H32" i="1"/>
  <c r="D32" i="6" s="1"/>
  <c r="E32" i="6" s="1"/>
  <c r="H31" i="1"/>
  <c r="D31" i="6" s="1"/>
  <c r="E31" i="6" s="1"/>
  <c r="R25" i="1"/>
  <c r="Q25" i="1"/>
  <c r="P25" i="1"/>
  <c r="R24" i="1"/>
  <c r="Q24" i="1"/>
  <c r="P24" i="1"/>
  <c r="N25" i="1"/>
  <c r="G25" i="6" s="1"/>
  <c r="I25" i="6" s="1"/>
  <c r="M25" i="1"/>
  <c r="F25" i="6" s="1"/>
  <c r="H25" i="6" s="1"/>
  <c r="L25" i="1"/>
  <c r="N24" i="1"/>
  <c r="G24" i="6" s="1"/>
  <c r="I24" i="6" s="1"/>
  <c r="M24" i="1"/>
  <c r="F24" i="6" s="1"/>
  <c r="H24" i="6" s="1"/>
  <c r="L24" i="1"/>
  <c r="J25" i="1"/>
  <c r="I25" i="1"/>
  <c r="J24" i="1"/>
  <c r="I24" i="1"/>
  <c r="H25" i="1"/>
  <c r="D25" i="6" s="1"/>
  <c r="E25" i="6" s="1"/>
  <c r="H24" i="1"/>
  <c r="D24" i="6" s="1"/>
  <c r="E24" i="6" s="1"/>
  <c r="R30" i="1"/>
  <c r="Q30" i="1"/>
  <c r="P30" i="1"/>
  <c r="R29" i="1"/>
  <c r="Q29" i="1"/>
  <c r="P29" i="1"/>
  <c r="N30" i="1"/>
  <c r="G30" i="6" s="1"/>
  <c r="I30" i="6" s="1"/>
  <c r="M30" i="1"/>
  <c r="F30" i="6" s="1"/>
  <c r="H30" i="6" s="1"/>
  <c r="L30" i="1"/>
  <c r="N29" i="1"/>
  <c r="G29" i="6" s="1"/>
  <c r="I29" i="6" s="1"/>
  <c r="M29" i="1"/>
  <c r="F29" i="6" s="1"/>
  <c r="H29" i="6" s="1"/>
  <c r="L29" i="1"/>
  <c r="J30" i="1"/>
  <c r="I30" i="1"/>
  <c r="J29" i="1"/>
  <c r="I29" i="1"/>
  <c r="H30" i="1"/>
  <c r="D30" i="6" s="1"/>
  <c r="E30" i="6" s="1"/>
  <c r="D29" i="6"/>
  <c r="E29" i="6" s="1"/>
  <c r="R23" i="1"/>
  <c r="Q23" i="1"/>
  <c r="P23" i="1"/>
  <c r="R22" i="1"/>
  <c r="Q22" i="1"/>
  <c r="P22" i="1"/>
  <c r="N23" i="1"/>
  <c r="G23" i="6" s="1"/>
  <c r="I23" i="6" s="1"/>
  <c r="M23" i="1"/>
  <c r="F23" i="6" s="1"/>
  <c r="H23" i="6" s="1"/>
  <c r="L23" i="1"/>
  <c r="N22" i="1"/>
  <c r="G22" i="6" s="1"/>
  <c r="I22" i="6" s="1"/>
  <c r="M22" i="1"/>
  <c r="F22" i="6" s="1"/>
  <c r="H22" i="6" s="1"/>
  <c r="L22" i="1"/>
  <c r="J23" i="1"/>
  <c r="I23" i="1"/>
  <c r="J22" i="1"/>
  <c r="I22" i="1"/>
  <c r="H23" i="1"/>
  <c r="D23" i="6" s="1"/>
  <c r="E23" i="6" s="1"/>
  <c r="H22" i="1"/>
  <c r="D22" i="6" s="1"/>
  <c r="E22" i="6" s="1"/>
  <c r="R21" i="1"/>
  <c r="Q21" i="1"/>
  <c r="P21" i="1"/>
  <c r="R20" i="1"/>
  <c r="Q20" i="1"/>
  <c r="P20" i="1"/>
  <c r="N21" i="1"/>
  <c r="G21" i="6" s="1"/>
  <c r="I21" i="6" s="1"/>
  <c r="M21" i="1"/>
  <c r="F21" i="6" s="1"/>
  <c r="H21" i="6" s="1"/>
  <c r="L21" i="1"/>
  <c r="N20" i="1"/>
  <c r="G20" i="6" s="1"/>
  <c r="I20" i="6" s="1"/>
  <c r="M20" i="1"/>
  <c r="F20" i="6" s="1"/>
  <c r="H20" i="6" s="1"/>
  <c r="L20" i="1"/>
  <c r="J21" i="1"/>
  <c r="I21" i="1"/>
  <c r="J20" i="1"/>
  <c r="I20" i="1"/>
  <c r="H21" i="1"/>
  <c r="D21" i="6" s="1"/>
  <c r="E21" i="6" s="1"/>
  <c r="H20" i="1"/>
  <c r="D20" i="6" s="1"/>
  <c r="E20" i="6" s="1"/>
  <c r="R19" i="1"/>
  <c r="Q19" i="1"/>
  <c r="P19" i="1"/>
  <c r="R18" i="1"/>
  <c r="Q18" i="1"/>
  <c r="P18" i="1"/>
  <c r="N19" i="1"/>
  <c r="G19" i="6" s="1"/>
  <c r="I19" i="6" s="1"/>
  <c r="M19" i="1"/>
  <c r="F19" i="6" s="1"/>
  <c r="H19" i="6" s="1"/>
  <c r="L19" i="1"/>
  <c r="N18" i="1"/>
  <c r="G18" i="6" s="1"/>
  <c r="I18" i="6" s="1"/>
  <c r="M18" i="1"/>
  <c r="F18" i="6" s="1"/>
  <c r="H18" i="6" s="1"/>
  <c r="L18" i="1"/>
  <c r="J19" i="1"/>
  <c r="I19" i="1"/>
  <c r="J18" i="1"/>
  <c r="I18" i="1"/>
  <c r="H19" i="1"/>
  <c r="D19" i="6" s="1"/>
  <c r="E19" i="6" s="1"/>
  <c r="H18" i="1"/>
  <c r="D18" i="6" s="1"/>
  <c r="E18" i="6" s="1"/>
  <c r="O61" i="6" l="1"/>
  <c r="P61" i="6" s="1"/>
  <c r="O72" i="6"/>
  <c r="P72" i="6" s="1"/>
  <c r="O47" i="6"/>
  <c r="P47" i="6" s="1"/>
  <c r="O48" i="6"/>
  <c r="P48" i="6" s="1"/>
  <c r="J39" i="6"/>
  <c r="J40" i="6"/>
  <c r="O66" i="6"/>
  <c r="P66" i="6" s="1"/>
  <c r="O71" i="6"/>
  <c r="P71" i="6" s="1"/>
  <c r="J41" i="6"/>
  <c r="J20" i="6"/>
  <c r="O73" i="6"/>
  <c r="P73" i="6" s="1"/>
  <c r="O74" i="6"/>
  <c r="P74" i="6" s="1"/>
  <c r="J25" i="6"/>
  <c r="J42" i="6"/>
  <c r="O75" i="6"/>
  <c r="P75" i="6" s="1"/>
  <c r="O70" i="6"/>
  <c r="P70" i="6" s="1"/>
  <c r="O68" i="6"/>
  <c r="P68" i="6" s="1"/>
  <c r="O69" i="6"/>
  <c r="P69" i="6" s="1"/>
  <c r="O67" i="6"/>
  <c r="P67" i="6" s="1"/>
  <c r="O64" i="6"/>
  <c r="P64" i="6" s="1"/>
  <c r="O65" i="6"/>
  <c r="P65" i="6" s="1"/>
  <c r="O60" i="6"/>
  <c r="P60" i="6" s="1"/>
  <c r="O56" i="6"/>
  <c r="P56" i="6" s="1"/>
  <c r="O57" i="6"/>
  <c r="P57" i="6" s="1"/>
  <c r="O54" i="6"/>
  <c r="P54" i="6" s="1"/>
  <c r="O55" i="6"/>
  <c r="P55" i="6" s="1"/>
  <c r="O50" i="6"/>
  <c r="P50" i="6" s="1"/>
  <c r="O49" i="6"/>
  <c r="P49" i="6" s="1"/>
  <c r="O45" i="6"/>
  <c r="P45" i="6" s="1"/>
  <c r="O46" i="6"/>
  <c r="P46" i="6" s="1"/>
  <c r="N44" i="6"/>
  <c r="L44" i="6"/>
  <c r="N43" i="6"/>
  <c r="L43" i="6"/>
  <c r="M44" i="6"/>
  <c r="K44" i="6"/>
  <c r="K43" i="6"/>
  <c r="M43" i="6"/>
  <c r="L42" i="6"/>
  <c r="N42" i="6"/>
  <c r="N41" i="6"/>
  <c r="L41" i="6"/>
  <c r="K41" i="6"/>
  <c r="M41" i="6"/>
  <c r="M42" i="6"/>
  <c r="K42" i="6"/>
  <c r="L40" i="6"/>
  <c r="N40" i="6"/>
  <c r="N39" i="6"/>
  <c r="L39" i="6"/>
  <c r="K39" i="6"/>
  <c r="M39" i="6"/>
  <c r="M40" i="6"/>
  <c r="K40" i="6"/>
  <c r="N36" i="6"/>
  <c r="L36" i="6"/>
  <c r="L35" i="6"/>
  <c r="N35" i="6"/>
  <c r="M36" i="6"/>
  <c r="K36" i="6"/>
  <c r="K35" i="6"/>
  <c r="M35" i="6"/>
  <c r="N31" i="6"/>
  <c r="L31" i="6"/>
  <c r="L32" i="6"/>
  <c r="N32" i="6"/>
  <c r="M31" i="6"/>
  <c r="K31" i="6"/>
  <c r="K32" i="6"/>
  <c r="M32" i="6"/>
  <c r="N29" i="6"/>
  <c r="L29" i="6"/>
  <c r="N30" i="6"/>
  <c r="L30" i="6"/>
  <c r="M30" i="6"/>
  <c r="K30" i="6"/>
  <c r="K29" i="6"/>
  <c r="M29" i="6"/>
  <c r="J44" i="6"/>
  <c r="J43" i="6"/>
  <c r="J35" i="6"/>
  <c r="J36" i="6"/>
  <c r="J32" i="6"/>
  <c r="J31" i="6"/>
  <c r="J29" i="6"/>
  <c r="J30" i="6"/>
  <c r="N25" i="6"/>
  <c r="L25" i="6"/>
  <c r="L24" i="6"/>
  <c r="N24" i="6"/>
  <c r="M24" i="6"/>
  <c r="K24" i="6"/>
  <c r="K25" i="6"/>
  <c r="M25" i="6"/>
  <c r="N23" i="6"/>
  <c r="L23" i="6"/>
  <c r="L22" i="6"/>
  <c r="N22" i="6"/>
  <c r="K22" i="6"/>
  <c r="M22" i="6"/>
  <c r="M23" i="6"/>
  <c r="K23" i="6"/>
  <c r="N21" i="6"/>
  <c r="L21" i="6"/>
  <c r="N20" i="6"/>
  <c r="L20" i="6"/>
  <c r="K21" i="6"/>
  <c r="M21" i="6"/>
  <c r="M20" i="6"/>
  <c r="K20" i="6"/>
  <c r="N19" i="6"/>
  <c r="L19" i="6"/>
  <c r="N18" i="6"/>
  <c r="L18" i="6"/>
  <c r="M18" i="6"/>
  <c r="K18" i="6"/>
  <c r="M19" i="6"/>
  <c r="K19" i="6"/>
  <c r="J24" i="6"/>
  <c r="J23" i="6"/>
  <c r="J22" i="6"/>
  <c r="J21" i="6"/>
  <c r="J19" i="6"/>
  <c r="J18" i="6"/>
  <c r="R17" i="1"/>
  <c r="Q17" i="1"/>
  <c r="P17" i="1"/>
  <c r="R16" i="1"/>
  <c r="Q16" i="1"/>
  <c r="P16" i="1"/>
  <c r="N17" i="1"/>
  <c r="G17" i="6" s="1"/>
  <c r="I17" i="6" s="1"/>
  <c r="M17" i="1"/>
  <c r="F17" i="6" s="1"/>
  <c r="H17" i="6" s="1"/>
  <c r="L17" i="1"/>
  <c r="N16" i="1"/>
  <c r="G16" i="6" s="1"/>
  <c r="I16" i="6" s="1"/>
  <c r="M16" i="1"/>
  <c r="F16" i="6" s="1"/>
  <c r="H16" i="6" s="1"/>
  <c r="L16" i="1"/>
  <c r="J17" i="1"/>
  <c r="I17" i="1"/>
  <c r="J16" i="1"/>
  <c r="I16" i="1"/>
  <c r="H17" i="1"/>
  <c r="D17" i="6" s="1"/>
  <c r="E17" i="6" s="1"/>
  <c r="H16" i="1"/>
  <c r="D16" i="6" s="1"/>
  <c r="E16" i="6" s="1"/>
  <c r="R15" i="1"/>
  <c r="Q15" i="1"/>
  <c r="P15" i="1"/>
  <c r="R14" i="1"/>
  <c r="Q14" i="1"/>
  <c r="P14" i="1"/>
  <c r="N15" i="1"/>
  <c r="G15" i="6" s="1"/>
  <c r="I15" i="6" s="1"/>
  <c r="M15" i="1"/>
  <c r="F15" i="6" s="1"/>
  <c r="H15" i="6" s="1"/>
  <c r="L15" i="1"/>
  <c r="N14" i="1"/>
  <c r="G14" i="6" s="1"/>
  <c r="I14" i="6" s="1"/>
  <c r="M14" i="1"/>
  <c r="F14" i="6" s="1"/>
  <c r="H14" i="6" s="1"/>
  <c r="L14" i="1"/>
  <c r="J15" i="1"/>
  <c r="I15" i="1"/>
  <c r="J14" i="1"/>
  <c r="I14" i="1"/>
  <c r="H15" i="1"/>
  <c r="D15" i="6" s="1"/>
  <c r="E15" i="6" s="1"/>
  <c r="H14" i="1"/>
  <c r="D14" i="6" s="1"/>
  <c r="E14" i="6" s="1"/>
  <c r="R11" i="1"/>
  <c r="Q11" i="1"/>
  <c r="P11" i="1"/>
  <c r="R10" i="1"/>
  <c r="Q10" i="1"/>
  <c r="P10" i="1"/>
  <c r="N11" i="1"/>
  <c r="G11" i="6" s="1"/>
  <c r="I11" i="6" s="1"/>
  <c r="M11" i="1"/>
  <c r="F11" i="6" s="1"/>
  <c r="H11" i="6" s="1"/>
  <c r="L11" i="1"/>
  <c r="N10" i="1"/>
  <c r="G10" i="6" s="1"/>
  <c r="I10" i="6" s="1"/>
  <c r="M10" i="1"/>
  <c r="F10" i="6" s="1"/>
  <c r="H10" i="6" s="1"/>
  <c r="L10" i="1"/>
  <c r="J11" i="1"/>
  <c r="I11" i="1"/>
  <c r="J10" i="1"/>
  <c r="I10" i="1"/>
  <c r="H11" i="1"/>
  <c r="D11" i="6" s="1"/>
  <c r="E11" i="6" s="1"/>
  <c r="H10" i="1"/>
  <c r="D10" i="6" s="1"/>
  <c r="E10" i="6" s="1"/>
  <c r="R7" i="1"/>
  <c r="Q7" i="1"/>
  <c r="P7" i="1"/>
  <c r="N7" i="1"/>
  <c r="G7" i="6" s="1"/>
  <c r="I7" i="6" s="1"/>
  <c r="M7" i="1"/>
  <c r="F7" i="6" s="1"/>
  <c r="H7" i="6" s="1"/>
  <c r="L7" i="1"/>
  <c r="J7" i="1"/>
  <c r="I7" i="1"/>
  <c r="H7" i="1"/>
  <c r="D7" i="6" s="1"/>
  <c r="E7" i="6" s="1"/>
  <c r="H6" i="1"/>
  <c r="D6" i="6" s="1"/>
  <c r="E6" i="6" s="1"/>
  <c r="R6" i="1"/>
  <c r="Q6" i="1"/>
  <c r="P6" i="1"/>
  <c r="N6" i="1"/>
  <c r="G6" i="6" s="1"/>
  <c r="I6" i="6" s="1"/>
  <c r="M6" i="1"/>
  <c r="F6" i="6" s="1"/>
  <c r="H6" i="6" s="1"/>
  <c r="L6" i="1"/>
  <c r="J6" i="1"/>
  <c r="I6" i="1"/>
  <c r="R5" i="1"/>
  <c r="Q5" i="1"/>
  <c r="P5" i="1"/>
  <c r="R4" i="1"/>
  <c r="Q4" i="1"/>
  <c r="P4" i="1"/>
  <c r="N5" i="1"/>
  <c r="G5" i="6" s="1"/>
  <c r="I5" i="6" s="1"/>
  <c r="M5" i="1"/>
  <c r="F5" i="6" s="1"/>
  <c r="H5" i="6" s="1"/>
  <c r="L5" i="1"/>
  <c r="N4" i="1"/>
  <c r="G4" i="6" s="1"/>
  <c r="I4" i="6" s="1"/>
  <c r="M4" i="1"/>
  <c r="F4" i="6" s="1"/>
  <c r="H4" i="6" s="1"/>
  <c r="L4" i="1"/>
  <c r="J5" i="1"/>
  <c r="I5" i="1"/>
  <c r="J4" i="1"/>
  <c r="I4" i="1"/>
  <c r="H5" i="1"/>
  <c r="D5" i="6" s="1"/>
  <c r="E5" i="6" s="1"/>
  <c r="D4" i="6"/>
  <c r="E4" i="6" s="1"/>
  <c r="O20" i="6" l="1"/>
  <c r="P20" i="6" s="1"/>
  <c r="O40" i="6"/>
  <c r="P40" i="6" s="1"/>
  <c r="O30" i="6"/>
  <c r="P30" i="6" s="1"/>
  <c r="O18" i="6"/>
  <c r="P18" i="6" s="1"/>
  <c r="O32" i="6"/>
  <c r="P32" i="6" s="1"/>
  <c r="O35" i="6"/>
  <c r="P35" i="6" s="1"/>
  <c r="O43" i="6"/>
  <c r="P43" i="6" s="1"/>
  <c r="O25" i="6"/>
  <c r="P25" i="6" s="1"/>
  <c r="O23" i="6"/>
  <c r="P23" i="6" s="1"/>
  <c r="O21" i="6"/>
  <c r="P21" i="6" s="1"/>
  <c r="O22" i="6"/>
  <c r="P22" i="6" s="1"/>
  <c r="O39" i="6"/>
  <c r="P39" i="6" s="1"/>
  <c r="O41" i="6"/>
  <c r="P41" i="6" s="1"/>
  <c r="O44" i="6"/>
  <c r="P44" i="6" s="1"/>
  <c r="J16" i="6"/>
  <c r="O42" i="6"/>
  <c r="P42" i="6" s="1"/>
  <c r="O36" i="6"/>
  <c r="P36" i="6" s="1"/>
  <c r="O31" i="6"/>
  <c r="P31" i="6" s="1"/>
  <c r="O29" i="6"/>
  <c r="P29" i="6" s="1"/>
  <c r="O24" i="6"/>
  <c r="P24" i="6" s="1"/>
  <c r="O19" i="6"/>
  <c r="P19" i="6" s="1"/>
  <c r="L17" i="6"/>
  <c r="N17" i="6"/>
  <c r="N16" i="6"/>
  <c r="L16" i="6"/>
  <c r="M16" i="6"/>
  <c r="K16" i="6"/>
  <c r="K17" i="6"/>
  <c r="M17" i="6"/>
  <c r="L14" i="6"/>
  <c r="N14" i="6"/>
  <c r="L15" i="6"/>
  <c r="N15" i="6"/>
  <c r="M14" i="6"/>
  <c r="K14" i="6"/>
  <c r="M15" i="6"/>
  <c r="K15" i="6"/>
  <c r="L10" i="6"/>
  <c r="N10" i="6"/>
  <c r="L11" i="6"/>
  <c r="N11" i="6"/>
  <c r="M10" i="6"/>
  <c r="K10" i="6"/>
  <c r="M11" i="6"/>
  <c r="K11" i="6"/>
  <c r="L7" i="6"/>
  <c r="N7" i="6"/>
  <c r="N6" i="6"/>
  <c r="L6" i="6"/>
  <c r="M6" i="6"/>
  <c r="K6" i="6"/>
  <c r="M7" i="6"/>
  <c r="K7" i="6"/>
  <c r="L5" i="6"/>
  <c r="N5" i="6"/>
  <c r="L4" i="6"/>
  <c r="N4" i="6"/>
  <c r="M5" i="6"/>
  <c r="K5" i="6"/>
  <c r="K4" i="6"/>
  <c r="M4" i="6"/>
  <c r="J17" i="6"/>
  <c r="J15" i="6"/>
  <c r="J14" i="6"/>
  <c r="J10" i="6"/>
  <c r="J11" i="6"/>
  <c r="J7" i="6"/>
  <c r="J6" i="6"/>
  <c r="J5" i="6"/>
  <c r="J4" i="6"/>
  <c r="O17" i="6" l="1"/>
  <c r="P17" i="6" s="1"/>
  <c r="O5" i="6"/>
  <c r="P5" i="6" s="1"/>
  <c r="O10" i="6"/>
  <c r="P10" i="6" s="1"/>
  <c r="O11" i="6"/>
  <c r="P11" i="6" s="1"/>
  <c r="O15" i="6"/>
  <c r="P15" i="6" s="1"/>
  <c r="O16" i="6"/>
  <c r="P16" i="6" s="1"/>
  <c r="O14" i="6"/>
  <c r="P14" i="6" s="1"/>
  <c r="O7" i="6"/>
  <c r="P7" i="6" s="1"/>
  <c r="O6" i="6"/>
  <c r="P6" i="6" s="1"/>
  <c r="O4" i="6"/>
  <c r="P4" i="6" s="1"/>
</calcChain>
</file>

<file path=xl/sharedStrings.xml><?xml version="1.0" encoding="utf-8"?>
<sst xmlns="http://schemas.openxmlformats.org/spreadsheetml/2006/main" count="1464" uniqueCount="162">
  <si>
    <t>CRC-AIM vs SimCRC</t>
  </si>
  <si>
    <t>Measure</t>
  </si>
  <si>
    <t>CRC-AIM vs MISCAN</t>
  </si>
  <si>
    <t>CRC-AIM vs CRC-SPIN</t>
  </si>
  <si>
    <t>Intercept</t>
  </si>
  <si>
    <t>Slope</t>
  </si>
  <si>
    <t>SimCRC vs MISCAN</t>
  </si>
  <si>
    <t>SimCRC vs CRC-SPIN</t>
  </si>
  <si>
    <t>MISCAN vs CRC-SPIN</t>
  </si>
  <si>
    <t>MISCAN vs SimCRC</t>
  </si>
  <si>
    <t>SURV COL</t>
  </si>
  <si>
    <t>Surveillance COL</t>
  </si>
  <si>
    <t>SYMPTOM COL</t>
  </si>
  <si>
    <t>Symptom COL</t>
  </si>
  <si>
    <t>Total COL</t>
  </si>
  <si>
    <t>Complications</t>
  </si>
  <si>
    <t>CRC Cases</t>
  </si>
  <si>
    <t>CRC Death</t>
  </si>
  <si>
    <t>CRC Deaths</t>
  </si>
  <si>
    <t>LY with CRC</t>
  </si>
  <si>
    <t>LYG</t>
  </si>
  <si>
    <t>CRC Mortality Reduction</t>
  </si>
  <si>
    <t>CRC Incidence Reduction</t>
  </si>
  <si>
    <t>CRC-SPIN vs SimCRC</t>
  </si>
  <si>
    <t>Passing-Bablok*</t>
  </si>
  <si>
    <t>"Sim-CRC as the reference model"</t>
  </si>
  <si>
    <t>"CRC-SPIN as the reference model"</t>
  </si>
  <si>
    <t>"MISCAN as the reference model"</t>
  </si>
  <si>
    <t>CRC-SPIN vs MISCAN</t>
  </si>
  <si>
    <r>
      <t xml:space="preserve">CRC-AIM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</si>
  <si>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CRC-SPIN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</si>
  <si>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MISCAN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</si>
  <si>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SimCRC vs </t>
    </r>
    <r>
      <rPr>
        <b/>
        <sz val="11"/>
        <color theme="1"/>
        <rFont val="Calibri"/>
        <family val="2"/>
        <scheme val="minor"/>
      </rPr>
      <t>CRC-SPIN</t>
    </r>
  </si>
  <si>
    <r>
      <t xml:space="preserve">MISCAN vs </t>
    </r>
    <r>
      <rPr>
        <b/>
        <sz val="11"/>
        <color theme="1"/>
        <rFont val="Calibri"/>
        <family val="2"/>
        <scheme val="minor"/>
      </rPr>
      <t>CRC-SPIN</t>
    </r>
  </si>
  <si>
    <r>
      <t xml:space="preserve">SimCRC vs </t>
    </r>
    <r>
      <rPr>
        <b/>
        <sz val="11"/>
        <color theme="1"/>
        <rFont val="Calibri"/>
        <family val="2"/>
        <scheme val="minor"/>
      </rPr>
      <t>MISCAN</t>
    </r>
  </si>
  <si>
    <r>
      <t xml:space="preserve">CRC-SPIN vs </t>
    </r>
    <r>
      <rPr>
        <b/>
        <sz val="11"/>
        <color theme="1"/>
        <rFont val="Calibri"/>
        <family val="2"/>
        <scheme val="minor"/>
      </rPr>
      <t>MISCAN</t>
    </r>
  </si>
  <si>
    <r>
      <rPr>
        <b/>
        <u/>
        <sz val="11"/>
        <color theme="1"/>
        <rFont val="Calibri"/>
        <family val="2"/>
        <scheme val="minor"/>
      </rPr>
      <t>Passing-Bablok Parameters</t>
    </r>
    <r>
      <rPr>
        <sz val="11"/>
        <color theme="1"/>
        <rFont val="Calibri"/>
        <family val="2"/>
        <scheme val="minor"/>
      </rPr>
      <t xml:space="preserve"> *(</t>
    </r>
    <r>
      <rPr>
        <sz val="8"/>
        <color theme="1"/>
        <rFont val="Calibri"/>
        <family val="2"/>
        <scheme val="minor"/>
      </rPr>
      <t>Denotes orthogonal regression. Passing-Bablock could not be generated</t>
    </r>
    <r>
      <rPr>
        <sz val="11"/>
        <color theme="1"/>
        <rFont val="Calibri"/>
        <family val="2"/>
        <scheme val="minor"/>
      </rPr>
      <t>)</t>
    </r>
  </si>
  <si>
    <t>Intepreting results:</t>
  </si>
  <si>
    <t>Regression coefficients can be interpreted as:</t>
  </si>
  <si>
    <r>
      <t xml:space="preserve">CRC-AIM vs </t>
    </r>
    <r>
      <rPr>
        <b/>
        <sz val="11"/>
        <color theme="1"/>
        <rFont val="Calibri"/>
        <family val="2"/>
        <scheme val="minor"/>
      </rPr>
      <t>MISCAN</t>
    </r>
  </si>
  <si>
    <t>eg if CISNET model's value were 0 for a given metric, what would CRC-AIM's value be? It would be negative.</t>
  </si>
  <si>
    <r>
      <rPr>
        <b/>
        <u/>
        <sz val="11"/>
        <color theme="1"/>
        <rFont val="Calibri"/>
        <family val="2"/>
        <scheme val="minor"/>
      </rPr>
      <t>Proportional bias:</t>
    </r>
    <r>
      <rPr>
        <sz val="11"/>
        <color theme="1"/>
        <rFont val="Calibri"/>
        <family val="2"/>
        <scheme val="minor"/>
      </rPr>
      <t xml:space="preserve"> slope that is non-1</t>
    </r>
  </si>
  <si>
    <r>
      <rPr>
        <b/>
        <u/>
        <sz val="11"/>
        <color theme="1"/>
        <rFont val="Calibri"/>
        <family val="2"/>
        <scheme val="minor"/>
      </rPr>
      <t>Systemic/systematic bias</t>
    </r>
    <r>
      <rPr>
        <sz val="11"/>
        <color theme="1"/>
        <rFont val="Calibri"/>
        <family val="2"/>
        <scheme val="minor"/>
      </rPr>
      <t xml:space="preserve">: Intercept that is non-0. </t>
    </r>
  </si>
  <si>
    <t>If intercept is negative, CRC-AIM gives values that are lower than CISNET by a constant amount.</t>
  </si>
  <si>
    <t>If intercept is positive, CRC-AIM gives values that are larger than CISNET by a constant amount.</t>
  </si>
  <si>
    <t>eg if CISNET model's value were 0 for a given metric, what would CRC-AIM's value be? It would be positive.</t>
  </si>
  <si>
    <r>
      <t xml:space="preserve">The differences between 2 model outcomes can also be influenced </t>
    </r>
    <r>
      <rPr>
        <b/>
        <sz val="11"/>
        <color theme="1"/>
        <rFont val="Calibri"/>
        <family val="2"/>
        <scheme val="minor"/>
      </rPr>
      <t>by the level of the measured outcome itself.</t>
    </r>
    <r>
      <rPr>
        <sz val="11"/>
        <color theme="1"/>
        <rFont val="Calibri"/>
        <family val="2"/>
        <scheme val="minor"/>
      </rPr>
      <t xml:space="preserve"> This is called "Proportional Bias."</t>
    </r>
  </si>
  <si>
    <t>If slope is greater than one, CRC-AIM gives values that are higher that CISNET's, by an amount proportional to the level of the measurement.</t>
  </si>
  <si>
    <t>eg as a metric increasese for CISNET, the gap between CRC-AIM's outcome vs CISNET's increases in a positive direction.</t>
  </si>
  <si>
    <t>If slope is less than one, CRC-AIM gives values that are lower than CISNET's, by an amount proportional to the level of the measurement.</t>
  </si>
  <si>
    <t>eg as metric increases for CISNET, the gap between CRC-AIM's outcomes vs CISNET's decreases ("CRC-AIM  -  CISNET" approaches "negative" values for given outcome, as CISNET value increases)</t>
  </si>
  <si>
    <t>These are regression estimates. Oftentimes, their effects can be overlooked when examining a Difference Plot, due to the scaling of the plot.</t>
  </si>
  <si>
    <t>For example: this is a plot of CRC-AM vs SimCRC number of COL</t>
  </si>
  <si>
    <t>Regression has an intercept of -77 (meaning CRC-AIM has a constant bias of -77 COL per 1000)</t>
  </si>
  <si>
    <t>Regression has a slope of 1.05, meaning as the number of COL increases, CRC-AIM "overshoots" the number of COL.</t>
  </si>
  <si>
    <t>You can see the widening gap versus the equality line (dashed line) in the left-hand plot, as number of COL increases.</t>
  </si>
  <si>
    <t>This is a proportional bias effect.</t>
  </si>
  <si>
    <t>The difference plot in the right-side graph also shows that, as mean COL increases, the difference between CRC-AIM and SimCRC increases.</t>
  </si>
  <si>
    <t>Same plot as above, zoomed in around Y intercept.  Systematic bias of -77.</t>
  </si>
  <si>
    <t>LowerCL</t>
  </si>
  <si>
    <t>UpperCL</t>
  </si>
  <si>
    <t>Point</t>
  </si>
  <si>
    <t>CRC-AIM vs SimCRC Point</t>
  </si>
  <si>
    <t>CRC-AIM vs SimCRC LowerCL</t>
  </si>
  <si>
    <t>CRC-AIM vs SimCRC UpperCL</t>
  </si>
  <si>
    <t>Ref (SimCRC) Level</t>
  </si>
  <si>
    <t>CRC-AIM vs CRC-SPIN Point</t>
  </si>
  <si>
    <t>CRC-AIM vs CRC-SPIN LowerCL</t>
  </si>
  <si>
    <t>CRC-AIM vs CRC-SPIN UpperCL</t>
  </si>
  <si>
    <t>Ref (CRC-SPIN) Level</t>
  </si>
  <si>
    <t>CRC-AIM vs MISCAN Point</t>
  </si>
  <si>
    <t>CRC-AIM vs MISCAN LowerCL</t>
  </si>
  <si>
    <t>CRC-AIM vs MISCAN UpperCL</t>
  </si>
  <si>
    <t>Low</t>
  </si>
  <si>
    <t>High</t>
  </si>
  <si>
    <t>CRC-AIM absolute bias</t>
  </si>
  <si>
    <t>Max CRC-SPIN absolute bias</t>
  </si>
  <si>
    <t>CRC-SPIN vs SimCRC Lower 95% CI</t>
  </si>
  <si>
    <t>CRC-SPIN vs SimCRC Upper 95% CI</t>
  </si>
  <si>
    <t>Max MISCAN absolute bias</t>
  </si>
  <si>
    <t>MISCAN vs SimCRC Lower 95% CI</t>
  </si>
  <si>
    <t>MISCAN vs SimCRC Upper 95% CI</t>
  </si>
  <si>
    <t>CISNET numeric precision issue</t>
  </si>
  <si>
    <t>SimCRC vs CRC-SPIN Lower 95% CI</t>
  </si>
  <si>
    <t>SimCRC vs CRC-SPIN Upper 95% CI</t>
  </si>
  <si>
    <t>Max SimCRC absolute bias</t>
  </si>
  <si>
    <t>MISCAN vs CRC-SPIN Lower 95% CI</t>
  </si>
  <si>
    <t>MISCAN vs CRC-SPIN Upper 95% CI</t>
  </si>
  <si>
    <t>SimCRC vs MISCAN Lower 95% CI</t>
  </si>
  <si>
    <t>SimCRC vs MISCAN Upper 95% CI</t>
  </si>
  <si>
    <t>CRC-SPIN vs MISCAN Lower 95% CI</t>
  </si>
  <si>
    <t>CRC-SPIN vs MISCAN Upper 95% CI</t>
  </si>
  <si>
    <t>Measure (SimCRC as Comparator)</t>
  </si>
  <si>
    <t>Measure (CRC-SPIN as Comparator)</t>
  </si>
  <si>
    <t>Measure (MISCAN as Comparator)</t>
  </si>
  <si>
    <t>CRC-AIM (cand) vs SimCRC (comp)</t>
  </si>
  <si>
    <t>Lower CI Diff vs Comparator</t>
  </si>
  <si>
    <t>Comparator Level</t>
  </si>
  <si>
    <t>Upper CI Diff vs Comparator</t>
  </si>
  <si>
    <t>CRC-AIM vs CRC-SPIN (Comparator)</t>
  </si>
  <si>
    <t>CRC-AIM vs MISCAN (Comparator)</t>
  </si>
  <si>
    <t>CRC-AIM within bias of CISNET, if SimCRC is Comparator model?</t>
  </si>
  <si>
    <t>CRC-AIM within bias of CISNET, if CRC-SPIN is Comparator model?</t>
  </si>
  <si>
    <t>Refer to difference plots</t>
  </si>
  <si>
    <t>Follow-Up COL</t>
  </si>
  <si>
    <t>CRC-SPIN</t>
  </si>
  <si>
    <t>MISCAN</t>
  </si>
  <si>
    <t>MODEL</t>
  </si>
  <si>
    <t>Strategies</t>
  </si>
  <si>
    <t>Frontier?</t>
  </si>
  <si>
    <t>Agreement Analysis</t>
  </si>
  <si>
    <t>CRC-AIM</t>
  </si>
  <si>
    <t>NE</t>
  </si>
  <si>
    <t>ON</t>
  </si>
  <si>
    <t>SimCRC</t>
  </si>
  <si>
    <r>
      <rPr>
        <b/>
        <sz val="11"/>
        <color rgb="FFFF0000"/>
        <rFont val="Calibri"/>
        <family val="2"/>
        <scheme val="minor"/>
      </rPr>
      <t>SimCRC</t>
    </r>
    <r>
      <rPr>
        <b/>
        <sz val="11"/>
        <color theme="1"/>
        <rFont val="Calibri"/>
        <family val="2"/>
        <scheme val="minor"/>
      </rPr>
      <t xml:space="preserve"> as Comparator model, Other Models as Candidate models</t>
    </r>
  </si>
  <si>
    <t>Sim-CRC</t>
  </si>
  <si>
    <t>OFF</t>
  </si>
  <si>
    <t>3x3 Table</t>
  </si>
  <si>
    <t>ON Frontier</t>
  </si>
  <si>
    <t>Near-Efficient</t>
  </si>
  <si>
    <t>OFF Frontier</t>
  </si>
  <si>
    <t>Where Near-Efficient = OFF Frontier</t>
  </si>
  <si>
    <t>2x2 Table</t>
  </si>
  <si>
    <t>Lower 2-sided 95% CI (Score)</t>
  </si>
  <si>
    <t>Upper 2-sided 95% CI (Score)</t>
  </si>
  <si>
    <t>NPA</t>
  </si>
  <si>
    <t>PPA</t>
  </si>
  <si>
    <t>OPA</t>
  </si>
  <si>
    <t>Where Near-Efficient = ON Frontier (more practical interpretation)</t>
  </si>
  <si>
    <r>
      <rPr>
        <b/>
        <sz val="11"/>
        <color rgb="FFFF0000"/>
        <rFont val="Calibri"/>
        <family val="2"/>
        <scheme val="minor"/>
      </rPr>
      <t>CRC-SPIN</t>
    </r>
    <r>
      <rPr>
        <b/>
        <sz val="11"/>
        <color theme="1"/>
        <rFont val="Calibri"/>
        <family val="2"/>
        <scheme val="minor"/>
      </rPr>
      <t xml:space="preserve"> as Comparator model, Other Models as Candidate models</t>
    </r>
  </si>
  <si>
    <r>
      <rPr>
        <b/>
        <sz val="11"/>
        <color rgb="FFFF0000"/>
        <rFont val="Calibri"/>
        <family val="2"/>
        <scheme val="minor"/>
      </rPr>
      <t>MISCAN</t>
    </r>
    <r>
      <rPr>
        <b/>
        <sz val="11"/>
        <color theme="1"/>
        <rFont val="Calibri"/>
        <family val="2"/>
        <scheme val="minor"/>
      </rPr>
      <t xml:space="preserve"> as Comparator model, Other Models as Candidate models</t>
    </r>
  </si>
  <si>
    <t>Total COLs</t>
  </si>
  <si>
    <t>Remove strongly dominated</t>
  </si>
  <si>
    <t>Identify weakly dominated (recursive)</t>
  </si>
  <si>
    <t>incLYG/incCOL (frontier)</t>
  </si>
  <si>
    <t>For WD, LYG on Frontier at WD COL</t>
  </si>
  <si>
    <t>%LYG for Converting Weakly Dominated to Near Efficient</t>
  </si>
  <si>
    <t>incCOL/incLYG for Near Efficient</t>
  </si>
  <si>
    <t>FrontierStatus</t>
  </si>
  <si>
    <t>Strongly Dominated</t>
  </si>
  <si>
    <t>Weakly Dominated</t>
  </si>
  <si>
    <t>CTCs</t>
  </si>
  <si>
    <t>CTC 55-75, 10 (3)</t>
  </si>
  <si>
    <t>CTC 50-75, 10 (3)</t>
  </si>
  <si>
    <t>CTC 55-85, 10 (4)</t>
  </si>
  <si>
    <t>CTC 50-80, 10 (4)</t>
  </si>
  <si>
    <t>CTC 45-75, 10 (4)</t>
  </si>
  <si>
    <t>CTC 55-75, 5 (5)</t>
  </si>
  <si>
    <t>CTC 45-85, 10 (5)</t>
  </si>
  <si>
    <t>CTC 55-80, 5 (6)</t>
  </si>
  <si>
    <t>CTC 55-85, 5 (7)</t>
  </si>
  <si>
    <t>CTC 50-75, 5 (6)</t>
  </si>
  <si>
    <t>CTC 50-80, 5 (7)</t>
  </si>
  <si>
    <t>CTC 50-85, 5 (8)</t>
  </si>
  <si>
    <t>CTC 45-75, 5 (7)</t>
  </si>
  <si>
    <t>CTC 45-80, 5 (8)</t>
  </si>
  <si>
    <t>CTC 45-85, 5 (9)</t>
  </si>
  <si>
    <t>Analytically relevant value for CTC</t>
  </si>
  <si>
    <t>Version 1</t>
  </si>
  <si>
    <t>50-75 10 YR COL LYG</t>
  </si>
  <si>
    <t>Pct LYG vs 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</si>
</sst>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3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0" xfId="0" applyBorder="1"/>
    <xf numFmtId="0" fontId="0" fillId="2" borderId="0" xfId="0" applyFill="1" applyBorder="1"/>
    <xf numFmtId="0" fontId="0" fillId="2" borderId="5" xfId="0" applyFill="1" applyBorder="1"/>
    <xf numFmtId="0" fontId="0" fillId="0" borderId="6" xfId="0" applyBorder="1"/>
    <xf numFmtId="0" fontId="0" fillId="0" borderId="7" xfId="0" applyBorder="1"/>
    <xf numFmtId="0" fontId="0" fillId="2" borderId="0" xfId="0" quotePrefix="1" applyFill="1" applyBorder="1"/>
    <xf numFmtId="0" fontId="0" fillId="0" borderId="0" xfId="0" quotePrefix="1" applyFill="1" applyBorder="1" applyAlignment="1">
      <alignment horizontal="center"/>
    </xf>
    <xf numFmtId="0" fontId="0" fillId="2" borderId="7" xfId="0" quotePrefix="1" applyFill="1" applyBorder="1"/>
    <xf numFmtId="0" fontId="1" fillId="0" borderId="0" xfId="0" applyFont="1"/>
    <xf numFmtId="0" fontId="2" fillId="0" borderId="0" xfId="0" applyFont="1"/>
    <xf numFmtId="0" fontId="0" fillId="0" borderId="0" xfId="0" quotePrefix="1" applyFont="1"/>
    <xf numFmtId="0" fontId="0" fillId="0" borderId="0" xfId="0" quotePrefix="1" applyFont="1" applyFill="1" applyBorder="1"/>
    <xf numFmtId="0" fontId="0" fillId="0" borderId="0" xfId="0" quotePrefix="1" applyFill="1" applyBorder="1" applyAlignment="1">
      <alignment horizontal="center" vertical="center"/>
    </xf>
    <xf numFmtId="0" fontId="0" fillId="0" borderId="7" xfId="0" quotePrefix="1" applyFill="1" applyBorder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0" xfId="0" applyFill="1"/>
    <xf numFmtId="0" fontId="0" fillId="0" borderId="5" xfId="0" applyBorder="1"/>
    <xf numFmtId="0" fontId="0" fillId="0" borderId="8" xfId="0" applyBorder="1"/>
    <xf numFmtId="2" fontId="0" fillId="0" borderId="0" xfId="0" quotePrefix="1" applyNumberFormat="1" applyFont="1" applyAlignment="1">
      <alignment horizontal="center" vertical="center"/>
    </xf>
    <xf numFmtId="10" fontId="0" fillId="0" borderId="0" xfId="0" quotePrefix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quotePrefix="1" applyNumberFormat="1" applyFont="1" applyAlignment="1">
      <alignment horizontal="center" vertical="center"/>
    </xf>
    <xf numFmtId="1" fontId="0" fillId="0" borderId="0" xfId="0" quotePrefix="1" applyNumberFormat="1" applyFont="1" applyAlignment="1">
      <alignment horizontal="center"/>
    </xf>
    <xf numFmtId="1" fontId="0" fillId="0" borderId="0" xfId="0" quotePrefix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1" fillId="0" borderId="0" xfId="0" quotePrefix="1" applyNumberFormat="1" applyFont="1" applyAlignment="1">
      <alignment horizontal="center" vertical="center"/>
    </xf>
    <xf numFmtId="1" fontId="1" fillId="0" borderId="0" xfId="0" quotePrefix="1" applyNumberFormat="1" applyFont="1" applyAlignment="1">
      <alignment horizontal="center"/>
    </xf>
    <xf numFmtId="0" fontId="1" fillId="0" borderId="0" xfId="0" quotePrefix="1" applyFont="1" applyFill="1" applyBorder="1"/>
    <xf numFmtId="1" fontId="1" fillId="0" borderId="0" xfId="0" quotePrefix="1" applyNumberFormat="1" applyFont="1" applyFill="1" applyBorder="1" applyAlignment="1">
      <alignment horizontal="center" vertical="center"/>
    </xf>
    <xf numFmtId="1" fontId="1" fillId="0" borderId="0" xfId="0" quotePrefix="1" applyNumberFormat="1" applyFont="1" applyFill="1" applyBorder="1" applyAlignment="1">
      <alignment horizontal="center"/>
    </xf>
    <xf numFmtId="0" fontId="0" fillId="0" borderId="0" xfId="0" quotePrefix="1" applyFont="1" applyFill="1" applyBorder="1" applyAlignment="1">
      <alignment horizontal="center" vertical="center"/>
    </xf>
    <xf numFmtId="164" fontId="1" fillId="0" borderId="0" xfId="0" quotePrefix="1" applyNumberFormat="1" applyFont="1" applyFill="1" applyBorder="1" applyAlignment="1">
      <alignment horizontal="center" vertical="center"/>
    </xf>
    <xf numFmtId="164" fontId="0" fillId="0" borderId="0" xfId="0" quotePrefix="1" applyNumberFormat="1" applyFont="1" applyFill="1" applyBorder="1" applyAlignment="1">
      <alignment horizontal="center" vertical="center"/>
    </xf>
    <xf numFmtId="0" fontId="0" fillId="0" borderId="0" xfId="0" applyFont="1"/>
    <xf numFmtId="0" fontId="0" fillId="5" borderId="9" xfId="0" applyFill="1" applyBorder="1" applyAlignment="1">
      <alignment horizontal="center" vertical="center" wrapText="1"/>
    </xf>
    <xf numFmtId="1" fontId="0" fillId="0" borderId="0" xfId="0" applyNumberFormat="1" applyFont="1" applyAlignment="1">
      <alignment horizontal="center" vertical="center"/>
    </xf>
    <xf numFmtId="0" fontId="0" fillId="4" borderId="0" xfId="0" applyFill="1" applyBorder="1"/>
    <xf numFmtId="0" fontId="0" fillId="4" borderId="5" xfId="0" applyFill="1" applyBorder="1"/>
    <xf numFmtId="0" fontId="0" fillId="6" borderId="0" xfId="0" applyFill="1" applyAlignment="1">
      <alignment horizontal="center" vertical="center" wrapText="1"/>
    </xf>
    <xf numFmtId="0" fontId="0" fillId="2" borderId="0" xfId="0" quotePrefix="1" applyFill="1" applyBorder="1" applyAlignment="1">
      <alignment horizontal="center" vertical="center"/>
    </xf>
    <xf numFmtId="0" fontId="0" fillId="2" borderId="7" xfId="0" quotePrefix="1" applyFill="1" applyBorder="1" applyAlignment="1">
      <alignment horizontal="center" vertical="center"/>
    </xf>
    <xf numFmtId="0" fontId="1" fillId="2" borderId="0" xfId="0" quotePrefix="1" applyFont="1" applyFill="1" applyBorder="1" applyAlignment="1">
      <alignment horizontal="center" vertical="center"/>
    </xf>
    <xf numFmtId="0" fontId="0" fillId="0" borderId="0" xfId="0" applyFill="1" applyBorder="1"/>
    <xf numFmtId="2" fontId="0" fillId="0" borderId="0" xfId="0" applyNumberFormat="1"/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" fillId="0" borderId="0" xfId="0" quotePrefix="1" applyNumberFormat="1" applyFont="1" applyFill="1" applyBorder="1" applyAlignment="1">
      <alignment horizontal="center" vertical="center"/>
    </xf>
    <xf numFmtId="2" fontId="0" fillId="0" borderId="0" xfId="0" quotePrefix="1" applyNumberFormat="1" applyFont="1" applyFill="1" applyBorder="1" applyAlignment="1">
      <alignment horizontal="center" vertical="center"/>
    </xf>
    <xf numFmtId="2" fontId="0" fillId="0" borderId="0" xfId="0" quotePrefix="1" applyNumberFormat="1" applyFont="1" applyFill="1" applyBorder="1"/>
    <xf numFmtId="2" fontId="0" fillId="0" borderId="0" xfId="0" applyNumberFormat="1" applyFont="1"/>
    <xf numFmtId="0" fontId="1" fillId="0" borderId="0" xfId="0" applyFont="1" applyBorder="1" applyAlignment="1">
      <alignment horizontal="center" vertical="center"/>
    </xf>
    <xf numFmtId="0" fontId="0" fillId="8" borderId="0" xfId="0" applyFill="1" applyAlignment="1">
      <alignment horizontal="center" vertical="center" wrapText="1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6" fillId="7" borderId="0" xfId="0" quotePrefix="1" applyFont="1" applyFill="1" applyBorder="1" applyAlignment="1">
      <alignment horizontal="center" vertical="center"/>
    </xf>
    <xf numFmtId="1" fontId="6" fillId="0" borderId="0" xfId="0" applyNumberFormat="1" applyFont="1" applyBorder="1" applyAlignment="1">
      <alignment horizontal="center" vertical="center"/>
    </xf>
    <xf numFmtId="1" fontId="6" fillId="2" borderId="0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6" fillId="7" borderId="7" xfId="0" quotePrefix="1" applyFont="1" applyFill="1" applyBorder="1" applyAlignment="1">
      <alignment horizontal="center" vertical="center"/>
    </xf>
    <xf numFmtId="2" fontId="6" fillId="0" borderId="7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8" borderId="11" xfId="0" applyFont="1" applyFill="1" applyBorder="1" applyAlignment="1">
      <alignment horizontal="center" vertical="center" wrapText="1"/>
    </xf>
    <xf numFmtId="0" fontId="3" fillId="8" borderId="11" xfId="0" applyFont="1" applyFill="1" applyBorder="1" applyAlignment="1">
      <alignment horizontal="center" vertical="center" wrapText="1"/>
    </xf>
    <xf numFmtId="0" fontId="5" fillId="6" borderId="11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 wrapText="1"/>
    </xf>
    <xf numFmtId="0" fontId="3" fillId="7" borderId="12" xfId="0" applyFont="1" applyFill="1" applyBorder="1" applyAlignment="1">
      <alignment horizontal="center" vertical="center" wrapText="1"/>
    </xf>
    <xf numFmtId="2" fontId="6" fillId="2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2" fontId="6" fillId="2" borderId="7" xfId="0" applyNumberFormat="1" applyFont="1" applyFill="1" applyBorder="1" applyAlignment="1">
      <alignment horizontal="center" vertical="center"/>
    </xf>
    <xf numFmtId="2" fontId="6" fillId="0" borderId="7" xfId="0" applyNumberFormat="1" applyFont="1" applyFill="1" applyBorder="1" applyAlignment="1">
      <alignment horizontal="center" vertical="center"/>
    </xf>
    <xf numFmtId="2" fontId="6" fillId="7" borderId="0" xfId="0" quotePrefix="1" applyNumberFormat="1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 wrapText="1"/>
    </xf>
    <xf numFmtId="0" fontId="3" fillId="5" borderId="11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center" vertical="center"/>
    </xf>
    <xf numFmtId="0" fontId="0" fillId="0" borderId="7" xfId="0" applyFill="1" applyBorder="1"/>
    <xf numFmtId="0" fontId="0" fillId="0" borderId="0" xfId="0" applyFill="1"/>
    <xf numFmtId="0" fontId="0" fillId="2" borderId="0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5" xfId="0" quotePrefix="1" applyFill="1" applyBorder="1" applyAlignment="1">
      <alignment horizontal="center" vertical="center"/>
    </xf>
    <xf numFmtId="0" fontId="0" fillId="2" borderId="8" xfId="0" quotePrefix="1" applyFill="1" applyBorder="1" applyAlignment="1">
      <alignment horizontal="center" vertical="center"/>
    </xf>
    <xf numFmtId="0" fontId="1" fillId="2" borderId="5" xfId="0" quotePrefix="1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6" xfId="0" applyBorder="1"/>
    <xf numFmtId="0" fontId="1" fillId="0" borderId="17" xfId="0" applyFont="1" applyBorder="1" applyAlignment="1">
      <alignment horizontal="center" vertical="center"/>
    </xf>
    <xf numFmtId="0" fontId="6" fillId="7" borderId="17" xfId="0" quotePrefix="1" applyFont="1" applyFill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2" borderId="17" xfId="0" applyNumberFormat="1" applyFont="1" applyFill="1" applyBorder="1" applyAlignment="1">
      <alignment horizontal="center" vertical="center"/>
    </xf>
    <xf numFmtId="1" fontId="6" fillId="0" borderId="17" xfId="0" applyNumberFormat="1" applyFont="1" applyFill="1" applyBorder="1" applyAlignment="1">
      <alignment horizontal="center" vertical="center"/>
    </xf>
    <xf numFmtId="2" fontId="6" fillId="0" borderId="17" xfId="0" applyNumberFormat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right"/>
    </xf>
    <xf numFmtId="0" fontId="1" fillId="0" borderId="20" xfId="0" applyFont="1" applyBorder="1" applyAlignment="1">
      <alignment horizontal="center" vertical="center"/>
    </xf>
    <xf numFmtId="0" fontId="0" fillId="7" borderId="20" xfId="0" applyFill="1" applyBorder="1" applyAlignment="1">
      <alignment horizontal="center"/>
    </xf>
    <xf numFmtId="1" fontId="6" fillId="0" borderId="20" xfId="0" applyNumberFormat="1" applyFont="1" applyBorder="1" applyAlignment="1">
      <alignment horizontal="center" vertical="center"/>
    </xf>
    <xf numFmtId="1" fontId="6" fillId="2" borderId="20" xfId="0" applyNumberFormat="1" applyFont="1" applyFill="1" applyBorder="1" applyAlignment="1">
      <alignment horizontal="center" vertical="center"/>
    </xf>
    <xf numFmtId="1" fontId="6" fillId="0" borderId="20" xfId="0" applyNumberFormat="1" applyFont="1" applyFill="1" applyBorder="1" applyAlignment="1">
      <alignment horizontal="center" vertical="center"/>
    </xf>
    <xf numFmtId="2" fontId="6" fillId="0" borderId="20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7" borderId="17" xfId="0" applyFill="1" applyBorder="1" applyAlignment="1">
      <alignment horizontal="center"/>
    </xf>
    <xf numFmtId="0" fontId="0" fillId="0" borderId="19" xfId="0" applyBorder="1" applyAlignment="1">
      <alignment horizontal="right" vertical="center"/>
    </xf>
    <xf numFmtId="0" fontId="1" fillId="0" borderId="20" xfId="0" applyFont="1" applyBorder="1" applyAlignment="1">
      <alignment horizontal="center" vertical="center" wrapText="1"/>
    </xf>
    <xf numFmtId="0" fontId="6" fillId="9" borderId="20" xfId="0" quotePrefix="1" applyFont="1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21" xfId="0" applyFill="1" applyBorder="1" applyAlignment="1">
      <alignment horizontal="center" vertical="center"/>
    </xf>
    <xf numFmtId="0" fontId="0" fillId="0" borderId="16" xfId="0" applyBorder="1" applyAlignment="1">
      <alignment horizontal="right" vertical="center"/>
    </xf>
    <xf numFmtId="0" fontId="1" fillId="0" borderId="17" xfId="0" applyFont="1" applyBorder="1" applyAlignment="1">
      <alignment horizontal="center" vertical="center" wrapText="1"/>
    </xf>
    <xf numFmtId="0" fontId="6" fillId="9" borderId="17" xfId="0" quotePrefix="1" applyFont="1" applyFill="1" applyBorder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0" fontId="0" fillId="9" borderId="18" xfId="0" applyFill="1" applyBorder="1" applyAlignment="1">
      <alignment horizontal="center" vertical="center"/>
    </xf>
    <xf numFmtId="0" fontId="6" fillId="7" borderId="20" xfId="0" quotePrefix="1" applyFont="1" applyFill="1" applyBorder="1" applyAlignment="1">
      <alignment horizontal="center" vertical="center"/>
    </xf>
    <xf numFmtId="2" fontId="6" fillId="2" borderId="20" xfId="0" applyNumberFormat="1" applyFont="1" applyFill="1" applyBorder="1" applyAlignment="1">
      <alignment horizontal="center" vertical="center"/>
    </xf>
    <xf numFmtId="2" fontId="6" fillId="0" borderId="20" xfId="0" applyNumberFormat="1" applyFont="1" applyFill="1" applyBorder="1" applyAlignment="1">
      <alignment horizontal="center" vertical="center"/>
    </xf>
    <xf numFmtId="2" fontId="6" fillId="2" borderId="17" xfId="0" applyNumberFormat="1" applyFont="1" applyFill="1" applyBorder="1" applyAlignment="1">
      <alignment horizontal="center" vertical="center"/>
    </xf>
    <xf numFmtId="2" fontId="6" fillId="0" borderId="17" xfId="0" applyNumberFormat="1" applyFont="1" applyFill="1" applyBorder="1" applyAlignment="1">
      <alignment horizontal="center" vertical="center"/>
    </xf>
    <xf numFmtId="0" fontId="0" fillId="0" borderId="22" xfId="0" applyBorder="1" applyAlignment="1">
      <alignment horizontal="right" vertical="center"/>
    </xf>
    <xf numFmtId="0" fontId="1" fillId="0" borderId="23" xfId="0" applyFont="1" applyBorder="1" applyAlignment="1">
      <alignment horizontal="center" vertical="center"/>
    </xf>
    <xf numFmtId="0" fontId="6" fillId="7" borderId="23" xfId="0" quotePrefix="1" applyFont="1" applyFill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1" fontId="6" fillId="2" borderId="23" xfId="0" applyNumberFormat="1" applyFont="1" applyFill="1" applyBorder="1" applyAlignment="1">
      <alignment horizontal="center" vertical="center"/>
    </xf>
    <xf numFmtId="1" fontId="6" fillId="0" borderId="23" xfId="0" applyNumberFormat="1" applyFont="1" applyFill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right" vertical="center"/>
    </xf>
    <xf numFmtId="0" fontId="1" fillId="0" borderId="26" xfId="0" applyFont="1" applyBorder="1" applyAlignment="1">
      <alignment horizontal="center" vertical="center"/>
    </xf>
    <xf numFmtId="0" fontId="6" fillId="7" borderId="26" xfId="0" quotePrefix="1" applyFont="1" applyFill="1" applyBorder="1" applyAlignment="1">
      <alignment horizontal="center" vertical="center"/>
    </xf>
    <xf numFmtId="1" fontId="6" fillId="0" borderId="26" xfId="0" applyNumberFormat="1" applyFont="1" applyBorder="1" applyAlignment="1">
      <alignment horizontal="center" vertical="center"/>
    </xf>
    <xf numFmtId="1" fontId="6" fillId="2" borderId="26" xfId="0" applyNumberFormat="1" applyFont="1" applyFill="1" applyBorder="1" applyAlignment="1">
      <alignment horizontal="center" vertical="center"/>
    </xf>
    <xf numFmtId="1" fontId="6" fillId="0" borderId="26" xfId="0" applyNumberFormat="1" applyFont="1" applyFill="1" applyBorder="1" applyAlignment="1">
      <alignment horizontal="center" vertical="center"/>
    </xf>
    <xf numFmtId="2" fontId="6" fillId="0" borderId="26" xfId="0" applyNumberFormat="1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28" xfId="0" applyBorder="1"/>
    <xf numFmtId="0" fontId="0" fillId="0" borderId="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5" fillId="0" borderId="0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right" vertical="center" wrapText="1"/>
    </xf>
    <xf numFmtId="0" fontId="1" fillId="0" borderId="22" xfId="0" applyFont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0" fontId="3" fillId="0" borderId="24" xfId="0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0" xfId="0" quotePrefix="1" applyFont="1" applyFill="1" applyBorder="1" applyAlignment="1">
      <alignment horizontal="center"/>
    </xf>
    <xf numFmtId="0" fontId="0" fillId="2" borderId="0" xfId="0" quotePrefix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7" xfId="0" quotePrefix="1" applyFill="1" applyBorder="1" applyAlignment="1">
      <alignment horizontal="center"/>
    </xf>
    <xf numFmtId="1" fontId="1" fillId="0" borderId="0" xfId="0" applyNumberFormat="1" applyFont="1" applyFill="1" applyAlignment="1">
      <alignment horizontal="center" vertical="center" wrapText="1"/>
    </xf>
    <xf numFmtId="1" fontId="0" fillId="0" borderId="0" xfId="0" applyNumberFormat="1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" fontId="3" fillId="0" borderId="14" xfId="0" applyNumberFormat="1" applyFont="1" applyBorder="1" applyAlignment="1">
      <alignment horizontal="center" vertical="center" wrapText="1"/>
    </xf>
    <xf numFmtId="1" fontId="3" fillId="0" borderId="14" xfId="0" applyNumberFormat="1" applyFont="1" applyFill="1" applyBorder="1" applyAlignment="1">
      <alignment horizontal="center" vertical="center" wrapText="1"/>
    </xf>
    <xf numFmtId="1" fontId="3" fillId="0" borderId="23" xfId="0" applyNumberFormat="1" applyFont="1" applyBorder="1" applyAlignment="1">
      <alignment horizontal="center" vertical="center" wrapText="1"/>
    </xf>
    <xf numFmtId="1" fontId="3" fillId="0" borderId="23" xfId="0" applyNumberFormat="1" applyFont="1" applyFill="1" applyBorder="1" applyAlignment="1">
      <alignment horizontal="center" vertical="center" wrapText="1"/>
    </xf>
    <xf numFmtId="1" fontId="3" fillId="2" borderId="14" xfId="0" applyNumberFormat="1" applyFont="1" applyFill="1" applyBorder="1" applyAlignment="1">
      <alignment horizontal="center" vertical="center" wrapText="1"/>
    </xf>
    <xf numFmtId="1" fontId="3" fillId="2" borderId="23" xfId="0" applyNumberFormat="1" applyFont="1" applyFill="1" applyBorder="1" applyAlignment="1">
      <alignment horizontal="center" vertical="center" wrapText="1"/>
    </xf>
    <xf numFmtId="0" fontId="3" fillId="7" borderId="14" xfId="0" applyFont="1" applyFill="1" applyBorder="1" applyAlignment="1">
      <alignment horizontal="center" vertical="center" wrapText="1"/>
    </xf>
    <xf numFmtId="0" fontId="3" fillId="7" borderId="23" xfId="0" applyFont="1" applyFill="1" applyBorder="1" applyAlignment="1">
      <alignment horizontal="center" vertical="center" wrapText="1"/>
    </xf>
    <xf numFmtId="1" fontId="3" fillId="0" borderId="17" xfId="0" applyNumberFormat="1" applyFont="1" applyFill="1" applyBorder="1" applyAlignment="1">
      <alignment horizontal="center" vertical="center" wrapText="1"/>
    </xf>
    <xf numFmtId="1" fontId="3" fillId="0" borderId="17" xfId="0" applyNumberFormat="1" applyFont="1" applyBorder="1" applyAlignment="1">
      <alignment horizontal="center" vertical="center" wrapText="1"/>
    </xf>
    <xf numFmtId="0" fontId="3" fillId="7" borderId="17" xfId="0" applyFont="1" applyFill="1" applyBorder="1" applyAlignment="1">
      <alignment horizontal="center" vertical="center" wrapText="1"/>
    </xf>
    <xf numFmtId="1" fontId="3" fillId="2" borderId="17" xfId="0" applyNumberFormat="1" applyFont="1" applyFill="1" applyBorder="1" applyAlignment="1">
      <alignment horizontal="center" vertical="center" wrapText="1"/>
    </xf>
    <xf numFmtId="0" fontId="0" fillId="0" borderId="0" xfId="0" quotePrefix="1" applyFont="1" applyBorder="1" applyAlignment="1">
      <alignment horizontal="center" vertical="center"/>
    </xf>
    <xf numFmtId="0" fontId="0" fillId="2" borderId="0" xfId="0" quotePrefix="1" applyFont="1" applyFill="1" applyAlignment="1">
      <alignment horizontal="center" vertical="center"/>
    </xf>
    <xf numFmtId="0" fontId="0" fillId="2" borderId="0" xfId="0" quotePrefix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9" borderId="2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7" fillId="10" borderId="32" xfId="0" applyFont="1" applyFill="1" applyBorder="1" applyAlignment="1">
      <alignment horizontal="center" vertical="center" wrapText="1"/>
    </xf>
    <xf numFmtId="0" fontId="7" fillId="10" borderId="33" xfId="0" applyFont="1" applyFill="1" applyBorder="1" applyAlignment="1">
      <alignment horizontal="center" vertical="center" wrapText="1"/>
    </xf>
    <xf numFmtId="0" fontId="7" fillId="10" borderId="32" xfId="0" applyFont="1" applyFill="1" applyBorder="1"/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1" fillId="0" borderId="4" xfId="0" applyFont="1" applyBorder="1"/>
    <xf numFmtId="0" fontId="7" fillId="10" borderId="34" xfId="0" applyFont="1" applyFill="1" applyBorder="1" applyAlignment="1">
      <alignment horizontal="center" vertical="center" wrapText="1"/>
    </xf>
    <xf numFmtId="0" fontId="1" fillId="10" borderId="32" xfId="0" applyFont="1" applyFill="1" applyBorder="1" applyAlignment="1">
      <alignment horizontal="center" vertical="center"/>
    </xf>
    <xf numFmtId="0" fontId="7" fillId="10" borderId="34" xfId="0" applyFont="1" applyFill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0" fontId="7" fillId="10" borderId="37" xfId="0" applyFont="1" applyFill="1" applyBorder="1" applyAlignment="1">
      <alignment horizontal="center" vertical="center"/>
    </xf>
    <xf numFmtId="10" fontId="0" fillId="0" borderId="38" xfId="0" applyNumberFormat="1" applyBorder="1" applyAlignment="1">
      <alignment horizontal="center" vertical="center"/>
    </xf>
    <xf numFmtId="0" fontId="1" fillId="10" borderId="0" xfId="0" applyFont="1" applyFill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164" fontId="0" fillId="0" borderId="0" xfId="0" applyNumberFormat="1"/>
    <xf numFmtId="0" fontId="4" fillId="0" borderId="0" xfId="0" applyFont="1" applyFill="1"/>
    <xf numFmtId="0" fontId="0" fillId="0" borderId="0" xfId="0" applyFill="1" applyAlignment="1">
      <alignment horizontal="center"/>
    </xf>
    <xf numFmtId="0" fontId="0" fillId="0" borderId="4" xfId="0" applyFill="1" applyBorder="1"/>
    <xf numFmtId="0" fontId="0" fillId="0" borderId="0" xfId="0" quotePrefix="1" applyFill="1" applyBorder="1"/>
    <xf numFmtId="166" fontId="0" fillId="0" borderId="0" xfId="0" applyNumberFormat="1" applyAlignment="1">
      <alignment horizontal="center" vertical="center"/>
    </xf>
    <xf numFmtId="0" fontId="7" fillId="10" borderId="3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4" xfId="0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10" borderId="35" xfId="0" applyFont="1" applyFill="1" applyBorder="1" applyAlignment="1">
      <alignment horizontal="center" vertical="center" wrapText="1"/>
    </xf>
    <xf numFmtId="0" fontId="1" fillId="10" borderId="36" xfId="0" applyFont="1" applyFill="1" applyBorder="1" applyAlignment="1">
      <alignment horizontal="center" vertical="center" wrapText="1"/>
    </xf>
    <xf numFmtId="0" fontId="1" fillId="10" borderId="32" xfId="0" applyFont="1" applyFill="1" applyBorder="1" applyAlignment="1">
      <alignment horizontal="center" vertical="center" wrapText="1"/>
    </xf>
    <xf numFmtId="0" fontId="1" fillId="10" borderId="30" xfId="0" applyFont="1" applyFill="1" applyBorder="1" applyAlignment="1">
      <alignment horizontal="center" vertical="center" wrapText="1"/>
    </xf>
    <xf numFmtId="0" fontId="1" fillId="1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13" Type="http://schemas.openxmlformats.org/officeDocument/2006/relationships/image" Target="../media/image15.emf"/><Relationship Id="rId18" Type="http://schemas.openxmlformats.org/officeDocument/2006/relationships/image" Target="../media/image20.emf"/><Relationship Id="rId26" Type="http://schemas.openxmlformats.org/officeDocument/2006/relationships/image" Target="../media/image28.emf"/><Relationship Id="rId3" Type="http://schemas.openxmlformats.org/officeDocument/2006/relationships/image" Target="../media/image5.emf"/><Relationship Id="rId21" Type="http://schemas.openxmlformats.org/officeDocument/2006/relationships/image" Target="../media/image23.emf"/><Relationship Id="rId34" Type="http://schemas.openxmlformats.org/officeDocument/2006/relationships/image" Target="../media/image36.emf"/><Relationship Id="rId7" Type="http://schemas.openxmlformats.org/officeDocument/2006/relationships/image" Target="../media/image9.emf"/><Relationship Id="rId12" Type="http://schemas.openxmlformats.org/officeDocument/2006/relationships/image" Target="../media/image14.emf"/><Relationship Id="rId17" Type="http://schemas.openxmlformats.org/officeDocument/2006/relationships/image" Target="../media/image19.emf"/><Relationship Id="rId25" Type="http://schemas.openxmlformats.org/officeDocument/2006/relationships/image" Target="../media/image27.emf"/><Relationship Id="rId33" Type="http://schemas.openxmlformats.org/officeDocument/2006/relationships/image" Target="../media/image35.emf"/><Relationship Id="rId2" Type="http://schemas.openxmlformats.org/officeDocument/2006/relationships/image" Target="../media/image4.emf"/><Relationship Id="rId16" Type="http://schemas.openxmlformats.org/officeDocument/2006/relationships/image" Target="../media/image18.emf"/><Relationship Id="rId20" Type="http://schemas.openxmlformats.org/officeDocument/2006/relationships/image" Target="../media/image22.emf"/><Relationship Id="rId29" Type="http://schemas.openxmlformats.org/officeDocument/2006/relationships/image" Target="../media/image31.emf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11" Type="http://schemas.openxmlformats.org/officeDocument/2006/relationships/image" Target="../media/image13.emf"/><Relationship Id="rId24" Type="http://schemas.openxmlformats.org/officeDocument/2006/relationships/image" Target="../media/image26.emf"/><Relationship Id="rId32" Type="http://schemas.openxmlformats.org/officeDocument/2006/relationships/image" Target="../media/image34.emf"/><Relationship Id="rId5" Type="http://schemas.openxmlformats.org/officeDocument/2006/relationships/image" Target="../media/image7.emf"/><Relationship Id="rId15" Type="http://schemas.openxmlformats.org/officeDocument/2006/relationships/image" Target="../media/image17.emf"/><Relationship Id="rId23" Type="http://schemas.openxmlformats.org/officeDocument/2006/relationships/image" Target="../media/image25.emf"/><Relationship Id="rId28" Type="http://schemas.openxmlformats.org/officeDocument/2006/relationships/image" Target="../media/image30.emf"/><Relationship Id="rId36" Type="http://schemas.openxmlformats.org/officeDocument/2006/relationships/image" Target="../media/image38.emf"/><Relationship Id="rId10" Type="http://schemas.openxmlformats.org/officeDocument/2006/relationships/image" Target="../media/image12.emf"/><Relationship Id="rId19" Type="http://schemas.openxmlformats.org/officeDocument/2006/relationships/image" Target="../media/image21.emf"/><Relationship Id="rId31" Type="http://schemas.openxmlformats.org/officeDocument/2006/relationships/image" Target="../media/image33.emf"/><Relationship Id="rId4" Type="http://schemas.openxmlformats.org/officeDocument/2006/relationships/image" Target="../media/image6.emf"/><Relationship Id="rId9" Type="http://schemas.openxmlformats.org/officeDocument/2006/relationships/image" Target="../media/image11.emf"/><Relationship Id="rId14" Type="http://schemas.openxmlformats.org/officeDocument/2006/relationships/image" Target="../media/image16.emf"/><Relationship Id="rId22" Type="http://schemas.openxmlformats.org/officeDocument/2006/relationships/image" Target="../media/image24.emf"/><Relationship Id="rId27" Type="http://schemas.openxmlformats.org/officeDocument/2006/relationships/image" Target="../media/image29.emf"/><Relationship Id="rId30" Type="http://schemas.openxmlformats.org/officeDocument/2006/relationships/image" Target="../media/image32.emf"/><Relationship Id="rId35" Type="http://schemas.openxmlformats.org/officeDocument/2006/relationships/image" Target="../media/image37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emf"/><Relationship Id="rId13" Type="http://schemas.openxmlformats.org/officeDocument/2006/relationships/image" Target="../media/image51.emf"/><Relationship Id="rId18" Type="http://schemas.openxmlformats.org/officeDocument/2006/relationships/image" Target="../media/image56.emf"/><Relationship Id="rId26" Type="http://schemas.openxmlformats.org/officeDocument/2006/relationships/image" Target="../media/image64.emf"/><Relationship Id="rId3" Type="http://schemas.openxmlformats.org/officeDocument/2006/relationships/image" Target="../media/image41.emf"/><Relationship Id="rId21" Type="http://schemas.openxmlformats.org/officeDocument/2006/relationships/image" Target="../media/image59.emf"/><Relationship Id="rId34" Type="http://schemas.openxmlformats.org/officeDocument/2006/relationships/image" Target="../media/image72.emf"/><Relationship Id="rId7" Type="http://schemas.openxmlformats.org/officeDocument/2006/relationships/image" Target="../media/image45.emf"/><Relationship Id="rId12" Type="http://schemas.openxmlformats.org/officeDocument/2006/relationships/image" Target="../media/image50.emf"/><Relationship Id="rId17" Type="http://schemas.openxmlformats.org/officeDocument/2006/relationships/image" Target="../media/image55.emf"/><Relationship Id="rId25" Type="http://schemas.openxmlformats.org/officeDocument/2006/relationships/image" Target="../media/image63.emf"/><Relationship Id="rId33" Type="http://schemas.openxmlformats.org/officeDocument/2006/relationships/image" Target="../media/image71.emf"/><Relationship Id="rId2" Type="http://schemas.openxmlformats.org/officeDocument/2006/relationships/image" Target="../media/image40.emf"/><Relationship Id="rId16" Type="http://schemas.openxmlformats.org/officeDocument/2006/relationships/image" Target="../media/image54.emf"/><Relationship Id="rId20" Type="http://schemas.openxmlformats.org/officeDocument/2006/relationships/image" Target="../media/image58.emf"/><Relationship Id="rId29" Type="http://schemas.openxmlformats.org/officeDocument/2006/relationships/image" Target="../media/image67.emf"/><Relationship Id="rId1" Type="http://schemas.openxmlformats.org/officeDocument/2006/relationships/image" Target="../media/image39.emf"/><Relationship Id="rId6" Type="http://schemas.openxmlformats.org/officeDocument/2006/relationships/image" Target="../media/image44.emf"/><Relationship Id="rId11" Type="http://schemas.openxmlformats.org/officeDocument/2006/relationships/image" Target="../media/image49.emf"/><Relationship Id="rId24" Type="http://schemas.openxmlformats.org/officeDocument/2006/relationships/image" Target="../media/image62.emf"/><Relationship Id="rId32" Type="http://schemas.openxmlformats.org/officeDocument/2006/relationships/image" Target="../media/image70.emf"/><Relationship Id="rId5" Type="http://schemas.openxmlformats.org/officeDocument/2006/relationships/image" Target="../media/image43.emf"/><Relationship Id="rId15" Type="http://schemas.openxmlformats.org/officeDocument/2006/relationships/image" Target="../media/image53.emf"/><Relationship Id="rId23" Type="http://schemas.openxmlformats.org/officeDocument/2006/relationships/image" Target="../media/image61.emf"/><Relationship Id="rId28" Type="http://schemas.openxmlformats.org/officeDocument/2006/relationships/image" Target="../media/image66.emf"/><Relationship Id="rId36" Type="http://schemas.openxmlformats.org/officeDocument/2006/relationships/image" Target="../media/image74.emf"/><Relationship Id="rId10" Type="http://schemas.openxmlformats.org/officeDocument/2006/relationships/image" Target="../media/image48.emf"/><Relationship Id="rId19" Type="http://schemas.openxmlformats.org/officeDocument/2006/relationships/image" Target="../media/image57.emf"/><Relationship Id="rId31" Type="http://schemas.openxmlformats.org/officeDocument/2006/relationships/image" Target="../media/image69.emf"/><Relationship Id="rId4" Type="http://schemas.openxmlformats.org/officeDocument/2006/relationships/image" Target="../media/image42.emf"/><Relationship Id="rId9" Type="http://schemas.openxmlformats.org/officeDocument/2006/relationships/image" Target="../media/image47.emf"/><Relationship Id="rId14" Type="http://schemas.openxmlformats.org/officeDocument/2006/relationships/image" Target="../media/image52.emf"/><Relationship Id="rId22" Type="http://schemas.openxmlformats.org/officeDocument/2006/relationships/image" Target="../media/image60.emf"/><Relationship Id="rId27" Type="http://schemas.openxmlformats.org/officeDocument/2006/relationships/image" Target="../media/image65.emf"/><Relationship Id="rId30" Type="http://schemas.openxmlformats.org/officeDocument/2006/relationships/image" Target="../media/image68.emf"/><Relationship Id="rId35" Type="http://schemas.openxmlformats.org/officeDocument/2006/relationships/image" Target="../media/image73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emf"/><Relationship Id="rId13" Type="http://schemas.openxmlformats.org/officeDocument/2006/relationships/image" Target="../media/image87.emf"/><Relationship Id="rId18" Type="http://schemas.openxmlformats.org/officeDocument/2006/relationships/image" Target="../media/image92.emf"/><Relationship Id="rId26" Type="http://schemas.openxmlformats.org/officeDocument/2006/relationships/image" Target="../media/image100.emf"/><Relationship Id="rId3" Type="http://schemas.openxmlformats.org/officeDocument/2006/relationships/image" Target="../media/image77.emf"/><Relationship Id="rId21" Type="http://schemas.openxmlformats.org/officeDocument/2006/relationships/image" Target="../media/image95.emf"/><Relationship Id="rId34" Type="http://schemas.openxmlformats.org/officeDocument/2006/relationships/image" Target="../media/image108.emf"/><Relationship Id="rId7" Type="http://schemas.openxmlformats.org/officeDocument/2006/relationships/image" Target="../media/image81.emf"/><Relationship Id="rId12" Type="http://schemas.openxmlformats.org/officeDocument/2006/relationships/image" Target="../media/image86.emf"/><Relationship Id="rId17" Type="http://schemas.openxmlformats.org/officeDocument/2006/relationships/image" Target="../media/image91.emf"/><Relationship Id="rId25" Type="http://schemas.openxmlformats.org/officeDocument/2006/relationships/image" Target="../media/image99.emf"/><Relationship Id="rId33" Type="http://schemas.openxmlformats.org/officeDocument/2006/relationships/image" Target="../media/image107.emf"/><Relationship Id="rId2" Type="http://schemas.openxmlformats.org/officeDocument/2006/relationships/image" Target="../media/image76.emf"/><Relationship Id="rId16" Type="http://schemas.openxmlformats.org/officeDocument/2006/relationships/image" Target="../media/image90.emf"/><Relationship Id="rId20" Type="http://schemas.openxmlformats.org/officeDocument/2006/relationships/image" Target="../media/image94.emf"/><Relationship Id="rId29" Type="http://schemas.openxmlformats.org/officeDocument/2006/relationships/image" Target="../media/image103.emf"/><Relationship Id="rId1" Type="http://schemas.openxmlformats.org/officeDocument/2006/relationships/image" Target="../media/image75.emf"/><Relationship Id="rId6" Type="http://schemas.openxmlformats.org/officeDocument/2006/relationships/image" Target="../media/image80.emf"/><Relationship Id="rId11" Type="http://schemas.openxmlformats.org/officeDocument/2006/relationships/image" Target="../media/image85.emf"/><Relationship Id="rId24" Type="http://schemas.openxmlformats.org/officeDocument/2006/relationships/image" Target="../media/image98.emf"/><Relationship Id="rId32" Type="http://schemas.openxmlformats.org/officeDocument/2006/relationships/image" Target="../media/image106.emf"/><Relationship Id="rId5" Type="http://schemas.openxmlformats.org/officeDocument/2006/relationships/image" Target="../media/image79.emf"/><Relationship Id="rId15" Type="http://schemas.openxmlformats.org/officeDocument/2006/relationships/image" Target="../media/image89.emf"/><Relationship Id="rId23" Type="http://schemas.openxmlformats.org/officeDocument/2006/relationships/image" Target="../media/image97.emf"/><Relationship Id="rId28" Type="http://schemas.openxmlformats.org/officeDocument/2006/relationships/image" Target="../media/image102.emf"/><Relationship Id="rId36" Type="http://schemas.openxmlformats.org/officeDocument/2006/relationships/image" Target="../media/image110.emf"/><Relationship Id="rId10" Type="http://schemas.openxmlformats.org/officeDocument/2006/relationships/image" Target="../media/image84.emf"/><Relationship Id="rId19" Type="http://schemas.openxmlformats.org/officeDocument/2006/relationships/image" Target="../media/image93.emf"/><Relationship Id="rId31" Type="http://schemas.openxmlformats.org/officeDocument/2006/relationships/image" Target="../media/image105.emf"/><Relationship Id="rId4" Type="http://schemas.openxmlformats.org/officeDocument/2006/relationships/image" Target="../media/image78.emf"/><Relationship Id="rId9" Type="http://schemas.openxmlformats.org/officeDocument/2006/relationships/image" Target="../media/image83.emf"/><Relationship Id="rId14" Type="http://schemas.openxmlformats.org/officeDocument/2006/relationships/image" Target="../media/image88.emf"/><Relationship Id="rId22" Type="http://schemas.openxmlformats.org/officeDocument/2006/relationships/image" Target="../media/image96.emf"/><Relationship Id="rId27" Type="http://schemas.openxmlformats.org/officeDocument/2006/relationships/image" Target="../media/image101.emf"/><Relationship Id="rId30" Type="http://schemas.openxmlformats.org/officeDocument/2006/relationships/image" Target="../media/image104.emf"/><Relationship Id="rId35" Type="http://schemas.openxmlformats.org/officeDocument/2006/relationships/image" Target="../media/image109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3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5" Type="http://schemas.openxmlformats.org/officeDocument/2006/relationships/image" Target="../media/image115.PNG"/><Relationship Id="rId4" Type="http://schemas.openxmlformats.org/officeDocument/2006/relationships/image" Target="../media/image1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149677</xdr:colOff>
      <xdr:row>23</xdr:row>
      <xdr:rowOff>163285</xdr:rowOff>
    </xdr:from>
    <xdr:to>
      <xdr:col>31</xdr:col>
      <xdr:colOff>171249</xdr:colOff>
      <xdr:row>43</xdr:row>
      <xdr:rowOff>108857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612B9554-621C-454F-AF4C-731897944F68}"/>
            </a:ext>
          </a:extLst>
        </xdr:cNvPr>
        <xdr:cNvGrpSpPr/>
      </xdr:nvGrpSpPr>
      <xdr:grpSpPr>
        <a:xfrm>
          <a:off x="25041677" y="4773385"/>
          <a:ext cx="6727172" cy="3996872"/>
          <a:chOff x="11666763" y="4561114"/>
          <a:chExt cx="6727172" cy="3472543"/>
        </a:xfrm>
      </xdr:grpSpPr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14B165CD-424C-4C8A-9C02-440547EB3D30}"/>
              </a:ext>
            </a:extLst>
          </xdr:cNvPr>
          <xdr:cNvGrpSpPr/>
        </xdr:nvGrpSpPr>
        <xdr:grpSpPr>
          <a:xfrm>
            <a:off x="11666763" y="4561114"/>
            <a:ext cx="6727172" cy="3472543"/>
            <a:chOff x="12504964" y="4376057"/>
            <a:chExt cx="6727172" cy="3472543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DB846185-34AD-4287-9032-A3E13CB02E08}"/>
                </a:ext>
              </a:extLst>
            </xdr:cNvPr>
            <xdr:cNvGrpSpPr/>
          </xdr:nvGrpSpPr>
          <xdr:grpSpPr>
            <a:xfrm>
              <a:off x="12504964" y="4376057"/>
              <a:ext cx="6727172" cy="3135085"/>
              <a:chOff x="12211050" y="4386943"/>
              <a:chExt cx="6727172" cy="3135085"/>
            </a:xfrm>
          </xdr:grpSpPr>
          <xdr:pic>
            <xdr:nvPicPr>
              <xdr:cNvPr id="2" name="Picture 1">
                <a:extLst>
                  <a:ext uri="{FF2B5EF4-FFF2-40B4-BE49-F238E27FC236}">
                    <a16:creationId xmlns:a16="http://schemas.microsoft.com/office/drawing/2014/main" id="{08B50FF7-E18F-4388-918D-34C37A03DAC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2211050" y="4637314"/>
                <a:ext cx="6727172" cy="2884714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cxnSp macro="">
            <xdr:nvCxnSpPr>
              <xdr:cNvPr id="4" name="Straight Arrow Connector 3">
                <a:extLst>
                  <a:ext uri="{FF2B5EF4-FFF2-40B4-BE49-F238E27FC236}">
                    <a16:creationId xmlns:a16="http://schemas.microsoft.com/office/drawing/2014/main" id="{09A54EE0-184E-451D-A543-0621CCAD8252}"/>
                  </a:ext>
                </a:extLst>
              </xdr:cNvPr>
              <xdr:cNvCxnSpPr/>
            </xdr:nvCxnSpPr>
            <xdr:spPr>
              <a:xfrm>
                <a:off x="14194971" y="4386943"/>
                <a:ext cx="1371600" cy="4680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8" name="Straight Arrow Connector 7">
              <a:extLst>
                <a:ext uri="{FF2B5EF4-FFF2-40B4-BE49-F238E27FC236}">
                  <a16:creationId xmlns:a16="http://schemas.microsoft.com/office/drawing/2014/main" id="{F0EBDB84-1C51-4763-97B5-915C93722364}"/>
                </a:ext>
              </a:extLst>
            </xdr:cNvPr>
            <xdr:cNvCxnSpPr/>
          </xdr:nvCxnSpPr>
          <xdr:spPr>
            <a:xfrm flipV="1">
              <a:off x="13367657" y="5225143"/>
              <a:ext cx="5072743" cy="2623457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A66F4BEB-FDF8-4526-B7C3-18DC6F08C4DC}"/>
              </a:ext>
            </a:extLst>
          </xdr:cNvPr>
          <xdr:cNvSpPr txBox="1"/>
        </xdr:nvSpPr>
        <xdr:spPr>
          <a:xfrm>
            <a:off x="12616543" y="5029200"/>
            <a:ext cx="1240971" cy="2830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Number of COL</a:t>
            </a:r>
          </a:p>
        </xdr:txBody>
      </xdr:sp>
    </xdr:grpSp>
    <xdr:clientData/>
  </xdr:twoCellAnchor>
  <xdr:twoCellAnchor>
    <xdr:from>
      <xdr:col>20</xdr:col>
      <xdr:colOff>478972</xdr:colOff>
      <xdr:row>47</xdr:row>
      <xdr:rowOff>76198</xdr:rowOff>
    </xdr:from>
    <xdr:to>
      <xdr:col>25</xdr:col>
      <xdr:colOff>130629</xdr:colOff>
      <xdr:row>59</xdr:row>
      <xdr:rowOff>91620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CD123F12-CC20-4D96-B1E1-59ED230DEFCB}"/>
            </a:ext>
          </a:extLst>
        </xdr:cNvPr>
        <xdr:cNvGrpSpPr/>
      </xdr:nvGrpSpPr>
      <xdr:grpSpPr>
        <a:xfrm>
          <a:off x="25370972" y="9448798"/>
          <a:ext cx="2699657" cy="2580822"/>
          <a:chOff x="11985172" y="8719456"/>
          <a:chExt cx="2699657" cy="2061936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FF9ACE9E-B5EE-45C7-96FE-20890452B9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985172" y="8719456"/>
            <a:ext cx="2699657" cy="206193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8992E36-8BA5-4A7B-B30F-AE55AEC46BB6}"/>
              </a:ext>
            </a:extLst>
          </xdr:cNvPr>
          <xdr:cNvSpPr txBox="1"/>
        </xdr:nvSpPr>
        <xdr:spPr>
          <a:xfrm>
            <a:off x="12551228" y="8882741"/>
            <a:ext cx="870857" cy="4572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Number of COL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213360</xdr:colOff>
      <xdr:row>25</xdr:row>
      <xdr:rowOff>15240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3247FA4-4628-4B67-BEBB-23EC7658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20</xdr:col>
      <xdr:colOff>167640</xdr:colOff>
      <xdr:row>25</xdr:row>
      <xdr:rowOff>15240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2CCEBD-6CA0-4215-9400-0A2FCBDED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30</xdr:col>
      <xdr:colOff>266700</xdr:colOff>
      <xdr:row>25</xdr:row>
      <xdr:rowOff>76200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F48A253-6EFD-45EA-80F1-125C21F14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365760"/>
          <a:ext cx="57531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</xdr:row>
      <xdr:rowOff>0</xdr:rowOff>
    </xdr:from>
    <xdr:to>
      <xdr:col>40</xdr:col>
      <xdr:colOff>68580</xdr:colOff>
      <xdr:row>25</xdr:row>
      <xdr:rowOff>76200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C7C4EBAC-AA87-483C-8BC0-DD1631583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365760"/>
          <a:ext cx="55549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2</xdr:row>
      <xdr:rowOff>0</xdr:rowOff>
    </xdr:from>
    <xdr:to>
      <xdr:col>50</xdr:col>
      <xdr:colOff>266700</xdr:colOff>
      <xdr:row>25</xdr:row>
      <xdr:rowOff>15240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33C8AC4-0C5C-42DD-9A6D-F9724E257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3657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359229</xdr:colOff>
      <xdr:row>2</xdr:row>
      <xdr:rowOff>54429</xdr:rowOff>
    </xdr:from>
    <xdr:to>
      <xdr:col>59</xdr:col>
      <xdr:colOff>572589</xdr:colOff>
      <xdr:row>25</xdr:row>
      <xdr:rowOff>69669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9D917F7-1E38-46D0-A4AD-421B1FA85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39229" y="424543"/>
          <a:ext cx="56997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598714</xdr:colOff>
      <xdr:row>2</xdr:row>
      <xdr:rowOff>65314</xdr:rowOff>
    </xdr:from>
    <xdr:to>
      <xdr:col>69</xdr:col>
      <xdr:colOff>103414</xdr:colOff>
      <xdr:row>25</xdr:row>
      <xdr:rowOff>80554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16D9C81-A0CD-40CD-9AC9-BF519241D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65114" y="435428"/>
          <a:ext cx="56007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500743</xdr:colOff>
      <xdr:row>2</xdr:row>
      <xdr:rowOff>0</xdr:rowOff>
    </xdr:from>
    <xdr:to>
      <xdr:col>78</xdr:col>
      <xdr:colOff>569323</xdr:colOff>
      <xdr:row>25</xdr:row>
      <xdr:rowOff>15240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3F94B6E-0BF9-4CD9-9B9E-1D69F1234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63143" y="370114"/>
          <a:ext cx="55549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220980</xdr:colOff>
      <xdr:row>25</xdr:row>
      <xdr:rowOff>15240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E78B21E1-7665-4D4A-95B2-F25A9E212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511628</xdr:colOff>
      <xdr:row>1</xdr:row>
      <xdr:rowOff>174172</xdr:rowOff>
    </xdr:from>
    <xdr:to>
      <xdr:col>98</xdr:col>
      <xdr:colOff>69668</xdr:colOff>
      <xdr:row>25</xdr:row>
      <xdr:rowOff>4355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A0CF4515-D683-43AF-B0B5-87151E4A1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56428" y="359229"/>
          <a:ext cx="56540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435429</xdr:colOff>
      <xdr:row>2</xdr:row>
      <xdr:rowOff>0</xdr:rowOff>
    </xdr:from>
    <xdr:to>
      <xdr:col>108</xdr:col>
      <xdr:colOff>39189</xdr:colOff>
      <xdr:row>25</xdr:row>
      <xdr:rowOff>15240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D80257AD-7AE8-44DE-8B65-C4A9771D8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76229" y="370114"/>
          <a:ext cx="56997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118</xdr:col>
      <xdr:colOff>259080</xdr:colOff>
      <xdr:row>25</xdr:row>
      <xdr:rowOff>15240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8708212-02B6-4B2F-9169-66A0ADAC8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365760"/>
          <a:ext cx="57454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435428</xdr:colOff>
      <xdr:row>28</xdr:row>
      <xdr:rowOff>21771</xdr:rowOff>
    </xdr:from>
    <xdr:to>
      <xdr:col>10</xdr:col>
      <xdr:colOff>92528</xdr:colOff>
      <xdr:row>51</xdr:row>
      <xdr:rowOff>37011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7BF91BF-F56A-40CA-9E86-DE7364B2F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428" y="5203371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326572</xdr:colOff>
      <xdr:row>28</xdr:row>
      <xdr:rowOff>0</xdr:rowOff>
    </xdr:from>
    <xdr:to>
      <xdr:col>19</xdr:col>
      <xdr:colOff>494212</xdr:colOff>
      <xdr:row>51</xdr:row>
      <xdr:rowOff>15240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2BB5F52-16A3-473B-B2D4-4AA1BBEA8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2572" y="5181600"/>
          <a:ext cx="56540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326572</xdr:colOff>
      <xdr:row>28</xdr:row>
      <xdr:rowOff>21772</xdr:rowOff>
    </xdr:from>
    <xdr:to>
      <xdr:col>29</xdr:col>
      <xdr:colOff>593272</xdr:colOff>
      <xdr:row>51</xdr:row>
      <xdr:rowOff>37012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31858F2-2EB5-446A-9C01-F5134EC2E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18572" y="5203372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28</xdr:row>
      <xdr:rowOff>0</xdr:rowOff>
    </xdr:from>
    <xdr:to>
      <xdr:col>40</xdr:col>
      <xdr:colOff>114300</xdr:colOff>
      <xdr:row>51</xdr:row>
      <xdr:rowOff>15240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D7519B5-FDEA-488D-A914-3E34647D6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12064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435429</xdr:colOff>
      <xdr:row>28</xdr:row>
      <xdr:rowOff>54429</xdr:rowOff>
    </xdr:from>
    <xdr:to>
      <xdr:col>50</xdr:col>
      <xdr:colOff>92529</xdr:colOff>
      <xdr:row>51</xdr:row>
      <xdr:rowOff>69669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0C62084-95F4-4A6B-B735-040F3AE80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19429" y="5236029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402772</xdr:colOff>
      <xdr:row>28</xdr:row>
      <xdr:rowOff>21772</xdr:rowOff>
    </xdr:from>
    <xdr:to>
      <xdr:col>59</xdr:col>
      <xdr:colOff>547552</xdr:colOff>
      <xdr:row>51</xdr:row>
      <xdr:rowOff>37012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5896254-21CA-44BC-84F7-EE8C44B8F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82772" y="5203372"/>
          <a:ext cx="56311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28</xdr:row>
      <xdr:rowOff>0</xdr:rowOff>
    </xdr:from>
    <xdr:to>
      <xdr:col>69</xdr:col>
      <xdr:colOff>114300</xdr:colOff>
      <xdr:row>51</xdr:row>
      <xdr:rowOff>15240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31611B57-7A1A-4FFD-9D7F-D3759FDC6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512064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457200</xdr:colOff>
      <xdr:row>28</xdr:row>
      <xdr:rowOff>0</xdr:rowOff>
    </xdr:from>
    <xdr:to>
      <xdr:col>78</xdr:col>
      <xdr:colOff>480060</xdr:colOff>
      <xdr:row>51</xdr:row>
      <xdr:rowOff>15240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41D0C0CC-53F8-4224-9440-DB8F51455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0" y="5181600"/>
          <a:ext cx="55092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28</xdr:row>
      <xdr:rowOff>0</xdr:rowOff>
    </xdr:from>
    <xdr:to>
      <xdr:col>88</xdr:col>
      <xdr:colOff>220980</xdr:colOff>
      <xdr:row>51</xdr:row>
      <xdr:rowOff>15240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A16F95B6-4B70-4077-B47D-93D82ABC9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12064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522514</xdr:colOff>
      <xdr:row>28</xdr:row>
      <xdr:rowOff>21772</xdr:rowOff>
    </xdr:from>
    <xdr:to>
      <xdr:col>98</xdr:col>
      <xdr:colOff>80554</xdr:colOff>
      <xdr:row>51</xdr:row>
      <xdr:rowOff>37012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DFC6EB6-117F-4127-834F-742EBC077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67314" y="5203372"/>
          <a:ext cx="56540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435429</xdr:colOff>
      <xdr:row>28</xdr:row>
      <xdr:rowOff>0</xdr:rowOff>
    </xdr:from>
    <xdr:to>
      <xdr:col>108</xdr:col>
      <xdr:colOff>39189</xdr:colOff>
      <xdr:row>51</xdr:row>
      <xdr:rowOff>15240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F126124E-8392-4A5B-B621-4B6F6A597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76229" y="5181600"/>
          <a:ext cx="56997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468086</xdr:colOff>
      <xdr:row>28</xdr:row>
      <xdr:rowOff>97971</xdr:rowOff>
    </xdr:from>
    <xdr:to>
      <xdr:col>118</xdr:col>
      <xdr:colOff>117566</xdr:colOff>
      <xdr:row>51</xdr:row>
      <xdr:rowOff>113211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6AA22F20-89B0-4E72-938D-CC67C027D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04886" y="5279571"/>
          <a:ext cx="57454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91440</xdr:colOff>
      <xdr:row>78</xdr:row>
      <xdr:rowOff>15240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A8E37AB-3641-4A81-979A-0576CEAF0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84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326572</xdr:colOff>
      <xdr:row>55</xdr:row>
      <xdr:rowOff>0</xdr:rowOff>
    </xdr:from>
    <xdr:to>
      <xdr:col>19</xdr:col>
      <xdr:colOff>418012</xdr:colOff>
      <xdr:row>78</xdr:row>
      <xdr:rowOff>15240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14E87586-A35F-4321-BE9F-E60D6EC9E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2572" y="10178143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206829</xdr:colOff>
      <xdr:row>55</xdr:row>
      <xdr:rowOff>65314</xdr:rowOff>
    </xdr:from>
    <xdr:to>
      <xdr:col>29</xdr:col>
      <xdr:colOff>298269</xdr:colOff>
      <xdr:row>78</xdr:row>
      <xdr:rowOff>80554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D3D794EB-E632-4090-942A-7894593E2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98829" y="10243457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55</xdr:row>
      <xdr:rowOff>0</xdr:rowOff>
    </xdr:from>
    <xdr:to>
      <xdr:col>39</xdr:col>
      <xdr:colOff>548640</xdr:colOff>
      <xdr:row>78</xdr:row>
      <xdr:rowOff>76200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6315D1D-C2C1-47CB-9F23-8A35F12CD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10058400"/>
          <a:ext cx="542544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457200</xdr:colOff>
      <xdr:row>55</xdr:row>
      <xdr:rowOff>32657</xdr:rowOff>
    </xdr:from>
    <xdr:to>
      <xdr:col>49</xdr:col>
      <xdr:colOff>548640</xdr:colOff>
      <xdr:row>78</xdr:row>
      <xdr:rowOff>47897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F2E1B4E7-7B29-44E6-AD5B-042C91F54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41200" y="10210800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446314</xdr:colOff>
      <xdr:row>55</xdr:row>
      <xdr:rowOff>97971</xdr:rowOff>
    </xdr:from>
    <xdr:to>
      <xdr:col>59</xdr:col>
      <xdr:colOff>408214</xdr:colOff>
      <xdr:row>78</xdr:row>
      <xdr:rowOff>113211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EB04A80-C44B-460B-93F3-B79AC7D32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26314" y="10276114"/>
          <a:ext cx="54483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555171</xdr:colOff>
      <xdr:row>55</xdr:row>
      <xdr:rowOff>141514</xdr:rowOff>
    </xdr:from>
    <xdr:to>
      <xdr:col>68</xdr:col>
      <xdr:colOff>494211</xdr:colOff>
      <xdr:row>78</xdr:row>
      <xdr:rowOff>156754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8061C98-836B-49EE-B22A-5F56E438D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21571" y="10319657"/>
          <a:ext cx="54254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391885</xdr:colOff>
      <xdr:row>55</xdr:row>
      <xdr:rowOff>65314</xdr:rowOff>
    </xdr:from>
    <xdr:to>
      <xdr:col>78</xdr:col>
      <xdr:colOff>285205</xdr:colOff>
      <xdr:row>78</xdr:row>
      <xdr:rowOff>80554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F509B234-72E8-46B7-B349-52D5630CB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54285" y="10243457"/>
          <a:ext cx="53797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478972</xdr:colOff>
      <xdr:row>55</xdr:row>
      <xdr:rowOff>87085</xdr:rowOff>
    </xdr:from>
    <xdr:to>
      <xdr:col>87</xdr:col>
      <xdr:colOff>524692</xdr:colOff>
      <xdr:row>78</xdr:row>
      <xdr:rowOff>102325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3C35B484-9EC2-49C6-8F3F-176732B1C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27772" y="10265228"/>
          <a:ext cx="55321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337457</xdr:colOff>
      <xdr:row>55</xdr:row>
      <xdr:rowOff>32657</xdr:rowOff>
    </xdr:from>
    <xdr:to>
      <xdr:col>97</xdr:col>
      <xdr:colOff>383177</xdr:colOff>
      <xdr:row>78</xdr:row>
      <xdr:rowOff>47897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F736EEBF-E765-4A19-ADC1-E3C347B22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82257" y="10210800"/>
          <a:ext cx="55321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55</xdr:row>
      <xdr:rowOff>0</xdr:rowOff>
    </xdr:from>
    <xdr:to>
      <xdr:col>108</xdr:col>
      <xdr:colOff>38100</xdr:colOff>
      <xdr:row>78</xdr:row>
      <xdr:rowOff>15240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C564A62-45C9-4F0C-8E07-502C77B5C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10058400"/>
          <a:ext cx="55245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55</xdr:row>
      <xdr:rowOff>0</xdr:rowOff>
    </xdr:from>
    <xdr:to>
      <xdr:col>118</xdr:col>
      <xdr:colOff>83820</xdr:colOff>
      <xdr:row>78</xdr:row>
      <xdr:rowOff>15240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16102C89-099F-496D-BFE1-2B363F342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058400"/>
          <a:ext cx="55702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266700</xdr:colOff>
      <xdr:row>25</xdr:row>
      <xdr:rowOff>15240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E00E3A7-1EC7-45E4-AA02-2EA5057F0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20</xdr:col>
      <xdr:colOff>167640</xdr:colOff>
      <xdr:row>25</xdr:row>
      <xdr:rowOff>15240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AEC542B-4CAE-4F14-8A49-A9CE946D8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30</xdr:col>
      <xdr:colOff>266700</xdr:colOff>
      <xdr:row>25</xdr:row>
      <xdr:rowOff>15240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64F1BD8A-D745-4E94-9AC9-D82649D1F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3657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</xdr:row>
      <xdr:rowOff>0</xdr:rowOff>
    </xdr:from>
    <xdr:to>
      <xdr:col>40</xdr:col>
      <xdr:colOff>137160</xdr:colOff>
      <xdr:row>25</xdr:row>
      <xdr:rowOff>15240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2FF9004D-4E71-4FD7-BD58-0864ADF6B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365760"/>
          <a:ext cx="56235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2</xdr:row>
      <xdr:rowOff>0</xdr:rowOff>
    </xdr:from>
    <xdr:to>
      <xdr:col>50</xdr:col>
      <xdr:colOff>266700</xdr:colOff>
      <xdr:row>25</xdr:row>
      <xdr:rowOff>15240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781A081-F992-4A6A-81B1-D9D40403E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3657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431800</xdr:colOff>
      <xdr:row>1</xdr:row>
      <xdr:rowOff>139700</xdr:rowOff>
    </xdr:from>
    <xdr:to>
      <xdr:col>60</xdr:col>
      <xdr:colOff>35560</xdr:colOff>
      <xdr:row>24</xdr:row>
      <xdr:rowOff>154940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94F3386-A4B6-428D-8B82-EE27E43D2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11800" y="3175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69</xdr:col>
      <xdr:colOff>68580</xdr:colOff>
      <xdr:row>25</xdr:row>
      <xdr:rowOff>15240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9A7FA32-C15F-4278-85F9-087107310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330200</xdr:colOff>
      <xdr:row>2</xdr:row>
      <xdr:rowOff>38100</xdr:rowOff>
    </xdr:from>
    <xdr:to>
      <xdr:col>78</xdr:col>
      <xdr:colOff>398780</xdr:colOff>
      <xdr:row>25</xdr:row>
      <xdr:rowOff>53340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1E5ACFE-142F-4EC1-BBFA-68FBFE31C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92600" y="3937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167640</xdr:colOff>
      <xdr:row>25</xdr:row>
      <xdr:rowOff>15240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609E5B8-B9A7-4F96-80B4-FCDF3D794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</xdr:row>
      <xdr:rowOff>0</xdr:rowOff>
    </xdr:from>
    <xdr:to>
      <xdr:col>98</xdr:col>
      <xdr:colOff>167640</xdr:colOff>
      <xdr:row>25</xdr:row>
      <xdr:rowOff>15240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7CA06E7E-2AAF-4556-9473-08315F714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508000</xdr:colOff>
      <xdr:row>2</xdr:row>
      <xdr:rowOff>12700</xdr:rowOff>
    </xdr:from>
    <xdr:to>
      <xdr:col>108</xdr:col>
      <xdr:colOff>157480</xdr:colOff>
      <xdr:row>25</xdr:row>
      <xdr:rowOff>27940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67E8C05F-BE32-4144-B308-16B67D966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48800" y="368300"/>
          <a:ext cx="57454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118</xdr:col>
      <xdr:colOff>259080</xdr:colOff>
      <xdr:row>25</xdr:row>
      <xdr:rowOff>15240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61D814D7-4D1D-43F7-B28E-145C10918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365760"/>
          <a:ext cx="57454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10</xdr:col>
      <xdr:colOff>266700</xdr:colOff>
      <xdr:row>51</xdr:row>
      <xdr:rowOff>15240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79F0D62-FD81-4337-9A9B-D6AB5F894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419100</xdr:colOff>
      <xdr:row>28</xdr:row>
      <xdr:rowOff>25400</xdr:rowOff>
    </xdr:from>
    <xdr:to>
      <xdr:col>19</xdr:col>
      <xdr:colOff>586740</xdr:colOff>
      <xdr:row>51</xdr:row>
      <xdr:rowOff>40640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3B053FE6-08CA-440F-8AC7-06002031B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50038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406400</xdr:colOff>
      <xdr:row>28</xdr:row>
      <xdr:rowOff>0</xdr:rowOff>
    </xdr:from>
    <xdr:to>
      <xdr:col>30</xdr:col>
      <xdr:colOff>63500</xdr:colOff>
      <xdr:row>51</xdr:row>
      <xdr:rowOff>15240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FAAB6BDA-F208-44E3-AAAF-692BEF2B0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98400" y="49784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28</xdr:row>
      <xdr:rowOff>0</xdr:rowOff>
    </xdr:from>
    <xdr:to>
      <xdr:col>40</xdr:col>
      <xdr:colOff>114300</xdr:colOff>
      <xdr:row>51</xdr:row>
      <xdr:rowOff>15240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939C4489-7807-4A3D-A7AE-EC179D850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12064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419100</xdr:colOff>
      <xdr:row>28</xdr:row>
      <xdr:rowOff>50800</xdr:rowOff>
    </xdr:from>
    <xdr:to>
      <xdr:col>50</xdr:col>
      <xdr:colOff>76200</xdr:colOff>
      <xdr:row>51</xdr:row>
      <xdr:rowOff>66040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173D7774-C90C-424D-BCE2-8A906A80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03100" y="50292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406400</xdr:colOff>
      <xdr:row>28</xdr:row>
      <xdr:rowOff>0</xdr:rowOff>
    </xdr:from>
    <xdr:to>
      <xdr:col>59</xdr:col>
      <xdr:colOff>474980</xdr:colOff>
      <xdr:row>51</xdr:row>
      <xdr:rowOff>15240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98B0529-45B4-4206-9DC5-A7B4382A6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86400" y="49784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431800</xdr:colOff>
      <xdr:row>28</xdr:row>
      <xdr:rowOff>50800</xdr:rowOff>
    </xdr:from>
    <xdr:to>
      <xdr:col>68</xdr:col>
      <xdr:colOff>546100</xdr:colOff>
      <xdr:row>51</xdr:row>
      <xdr:rowOff>66040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A5F6AB0-4285-461F-B3DA-FBB9E0326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98200" y="50292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381000</xdr:colOff>
      <xdr:row>27</xdr:row>
      <xdr:rowOff>165100</xdr:rowOff>
    </xdr:from>
    <xdr:to>
      <xdr:col>78</xdr:col>
      <xdr:colOff>449580</xdr:colOff>
      <xdr:row>51</xdr:row>
      <xdr:rowOff>2540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3350B11A-0D7F-4C33-98C9-E6DB135DF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43400" y="49657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28</xdr:row>
      <xdr:rowOff>0</xdr:rowOff>
    </xdr:from>
    <xdr:to>
      <xdr:col>88</xdr:col>
      <xdr:colOff>220980</xdr:colOff>
      <xdr:row>51</xdr:row>
      <xdr:rowOff>76200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0F2DECF-C6D6-4EEE-BBB1-8F85F2CC1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120640"/>
          <a:ext cx="57073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28</xdr:row>
      <xdr:rowOff>0</xdr:rowOff>
    </xdr:from>
    <xdr:to>
      <xdr:col>98</xdr:col>
      <xdr:colOff>167640</xdr:colOff>
      <xdr:row>51</xdr:row>
      <xdr:rowOff>15240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C42A059-B7DB-46C2-BC22-0D93720D9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512064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28</xdr:row>
      <xdr:rowOff>0</xdr:rowOff>
    </xdr:from>
    <xdr:to>
      <xdr:col>108</xdr:col>
      <xdr:colOff>213360</xdr:colOff>
      <xdr:row>51</xdr:row>
      <xdr:rowOff>15240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1CE5F6F8-BF32-4E11-A836-E84C8805E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512064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28</xdr:row>
      <xdr:rowOff>0</xdr:rowOff>
    </xdr:from>
    <xdr:to>
      <xdr:col>118</xdr:col>
      <xdr:colOff>259080</xdr:colOff>
      <xdr:row>51</xdr:row>
      <xdr:rowOff>15240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AFC59793-9CFE-4481-8272-7631DD37C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5120640"/>
          <a:ext cx="57454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266700</xdr:colOff>
      <xdr:row>78</xdr:row>
      <xdr:rowOff>76200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6F79140-2DF8-4BB1-B001-51F64D085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8400"/>
          <a:ext cx="57531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20</xdr:col>
      <xdr:colOff>266700</xdr:colOff>
      <xdr:row>78</xdr:row>
      <xdr:rowOff>15240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0F41999-4A0B-47C6-8A27-D2C56467A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05840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406400</xdr:colOff>
      <xdr:row>54</xdr:row>
      <xdr:rowOff>165100</xdr:rowOff>
    </xdr:from>
    <xdr:to>
      <xdr:col>30</xdr:col>
      <xdr:colOff>63500</xdr:colOff>
      <xdr:row>78</xdr:row>
      <xdr:rowOff>2540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F1E64BA4-D799-44BD-B711-FD9A2B165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98400" y="97663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355600</xdr:colOff>
      <xdr:row>55</xdr:row>
      <xdr:rowOff>50800</xdr:rowOff>
    </xdr:from>
    <xdr:to>
      <xdr:col>39</xdr:col>
      <xdr:colOff>424180</xdr:colOff>
      <xdr:row>78</xdr:row>
      <xdr:rowOff>66040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27CE5B08-1195-476C-9B5D-D4D8C4894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43600" y="98298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330200</xdr:colOff>
      <xdr:row>55</xdr:row>
      <xdr:rowOff>25400</xdr:rowOff>
    </xdr:from>
    <xdr:to>
      <xdr:col>49</xdr:col>
      <xdr:colOff>596900</xdr:colOff>
      <xdr:row>78</xdr:row>
      <xdr:rowOff>40640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F5A7B2FE-C718-4B00-9A8C-883F16B51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14200" y="98044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431800</xdr:colOff>
      <xdr:row>55</xdr:row>
      <xdr:rowOff>0</xdr:rowOff>
    </xdr:from>
    <xdr:to>
      <xdr:col>59</xdr:col>
      <xdr:colOff>568960</xdr:colOff>
      <xdr:row>78</xdr:row>
      <xdr:rowOff>15240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7E47C75-A66F-434E-A64A-96950AF85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11800" y="97790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55</xdr:row>
      <xdr:rowOff>0</xdr:rowOff>
    </xdr:from>
    <xdr:to>
      <xdr:col>69</xdr:col>
      <xdr:colOff>68580</xdr:colOff>
      <xdr:row>78</xdr:row>
      <xdr:rowOff>15240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964BDF72-58CD-405A-A9FA-10FF911AF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1005840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304800</xdr:colOff>
      <xdr:row>55</xdr:row>
      <xdr:rowOff>12700</xdr:rowOff>
    </xdr:from>
    <xdr:to>
      <xdr:col>78</xdr:col>
      <xdr:colOff>396240</xdr:colOff>
      <xdr:row>78</xdr:row>
      <xdr:rowOff>27940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22FA10A2-6946-4C5D-90B5-D14CE0D3E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7200" y="97917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55</xdr:row>
      <xdr:rowOff>0</xdr:rowOff>
    </xdr:from>
    <xdr:to>
      <xdr:col>88</xdr:col>
      <xdr:colOff>220980</xdr:colOff>
      <xdr:row>78</xdr:row>
      <xdr:rowOff>15240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A00E241-9843-4B30-9D13-0EF10487C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1005840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55</xdr:row>
      <xdr:rowOff>0</xdr:rowOff>
    </xdr:from>
    <xdr:to>
      <xdr:col>98</xdr:col>
      <xdr:colOff>167640</xdr:colOff>
      <xdr:row>78</xdr:row>
      <xdr:rowOff>15240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8E1293F-6344-45FD-AB6C-B7B409A5A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1005840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431800</xdr:colOff>
      <xdr:row>55</xdr:row>
      <xdr:rowOff>38100</xdr:rowOff>
    </xdr:from>
    <xdr:to>
      <xdr:col>108</xdr:col>
      <xdr:colOff>81280</xdr:colOff>
      <xdr:row>78</xdr:row>
      <xdr:rowOff>53340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40E5A948-2416-4E3F-86CA-5FCEDA324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72600" y="9817100"/>
          <a:ext cx="57454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55</xdr:row>
      <xdr:rowOff>0</xdr:rowOff>
    </xdr:from>
    <xdr:to>
      <xdr:col>118</xdr:col>
      <xdr:colOff>259080</xdr:colOff>
      <xdr:row>78</xdr:row>
      <xdr:rowOff>15240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7ADE71A-ABE4-44D7-88F4-9E6D9FF68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058400"/>
          <a:ext cx="57454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91440</xdr:colOff>
      <xdr:row>25</xdr:row>
      <xdr:rowOff>15240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735784-0105-4AAF-B98B-B8B636D20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406400</xdr:colOff>
      <xdr:row>1</xdr:row>
      <xdr:rowOff>165100</xdr:rowOff>
    </xdr:from>
    <xdr:to>
      <xdr:col>19</xdr:col>
      <xdr:colOff>452120</xdr:colOff>
      <xdr:row>25</xdr:row>
      <xdr:rowOff>63500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9F2EC5B-37B3-486C-B0C9-AD4CFD1F1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2400" y="342900"/>
          <a:ext cx="553212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292100</xdr:colOff>
      <xdr:row>2</xdr:row>
      <xdr:rowOff>0</xdr:rowOff>
    </xdr:from>
    <xdr:to>
      <xdr:col>29</xdr:col>
      <xdr:colOff>383540</xdr:colOff>
      <xdr:row>25</xdr:row>
      <xdr:rowOff>76200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991F256-6A4C-4091-8AE3-C2FE7ECDD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4100" y="355600"/>
          <a:ext cx="557784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</xdr:row>
      <xdr:rowOff>0</xdr:rowOff>
    </xdr:from>
    <xdr:to>
      <xdr:col>39</xdr:col>
      <xdr:colOff>548640</xdr:colOff>
      <xdr:row>25</xdr:row>
      <xdr:rowOff>15240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6FF3A76-ACBD-42F3-AFFE-6B6FD420B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36576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482600</xdr:colOff>
      <xdr:row>2</xdr:row>
      <xdr:rowOff>25400</xdr:rowOff>
    </xdr:from>
    <xdr:to>
      <xdr:col>49</xdr:col>
      <xdr:colOff>574040</xdr:colOff>
      <xdr:row>25</xdr:row>
      <xdr:rowOff>40640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E476E45C-54B9-4E2A-BCA2-8B94B089C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6600" y="3810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381000</xdr:colOff>
      <xdr:row>2</xdr:row>
      <xdr:rowOff>12700</xdr:rowOff>
    </xdr:from>
    <xdr:to>
      <xdr:col>59</xdr:col>
      <xdr:colOff>419100</xdr:colOff>
      <xdr:row>25</xdr:row>
      <xdr:rowOff>27940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35E5480-5E5D-4D18-AC4E-732289814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0" y="368300"/>
          <a:ext cx="55245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68</xdr:col>
      <xdr:colOff>502920</xdr:colOff>
      <xdr:row>25</xdr:row>
      <xdr:rowOff>15240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73A7405-E9D7-43E0-BEB0-E2A207123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444500</xdr:colOff>
      <xdr:row>2</xdr:row>
      <xdr:rowOff>25400</xdr:rowOff>
    </xdr:from>
    <xdr:to>
      <xdr:col>78</xdr:col>
      <xdr:colOff>337820</xdr:colOff>
      <xdr:row>25</xdr:row>
      <xdr:rowOff>40640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A4F1C64-574F-4A0F-9FA4-910497172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06900" y="381000"/>
          <a:ext cx="53797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419100</xdr:colOff>
      <xdr:row>2</xdr:row>
      <xdr:rowOff>38100</xdr:rowOff>
    </xdr:from>
    <xdr:to>
      <xdr:col>87</xdr:col>
      <xdr:colOff>464820</xdr:colOff>
      <xdr:row>25</xdr:row>
      <xdr:rowOff>53340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698808B-8B45-4F93-9DC2-8C395198C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7900" y="393700"/>
          <a:ext cx="55321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</xdr:row>
      <xdr:rowOff>0</xdr:rowOff>
    </xdr:from>
    <xdr:to>
      <xdr:col>97</xdr:col>
      <xdr:colOff>601980</xdr:colOff>
      <xdr:row>25</xdr:row>
      <xdr:rowOff>15240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0EADBEB-A299-458B-B9F4-86167194C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36576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469900</xdr:colOff>
      <xdr:row>2</xdr:row>
      <xdr:rowOff>25400</xdr:rowOff>
    </xdr:from>
    <xdr:to>
      <xdr:col>107</xdr:col>
      <xdr:colOff>553720</xdr:colOff>
      <xdr:row>25</xdr:row>
      <xdr:rowOff>40640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E88045F-B49C-472A-A9EE-6920997E0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10700" y="381000"/>
          <a:ext cx="55702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118</xdr:col>
      <xdr:colOff>83820</xdr:colOff>
      <xdr:row>25</xdr:row>
      <xdr:rowOff>15240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12D155B-E495-4F9B-8AED-D5DD52510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365760"/>
          <a:ext cx="55702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508000</xdr:colOff>
      <xdr:row>28</xdr:row>
      <xdr:rowOff>25400</xdr:rowOff>
    </xdr:from>
    <xdr:to>
      <xdr:col>10</xdr:col>
      <xdr:colOff>165100</xdr:colOff>
      <xdr:row>51</xdr:row>
      <xdr:rowOff>40640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E8C379D-30D3-4AE5-8E3F-E5DF19F59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0" y="50038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368300</xdr:colOff>
      <xdr:row>28</xdr:row>
      <xdr:rowOff>0</xdr:rowOff>
    </xdr:from>
    <xdr:to>
      <xdr:col>19</xdr:col>
      <xdr:colOff>589280</xdr:colOff>
      <xdr:row>51</xdr:row>
      <xdr:rowOff>15240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D64F135-86FB-4B20-A99F-C40C55A13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4300" y="49784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393700</xdr:colOff>
      <xdr:row>28</xdr:row>
      <xdr:rowOff>0</xdr:rowOff>
    </xdr:from>
    <xdr:to>
      <xdr:col>30</xdr:col>
      <xdr:colOff>50800</xdr:colOff>
      <xdr:row>51</xdr:row>
      <xdr:rowOff>15240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35FAAD10-8565-4FC6-A9FF-1AD8E378D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5700" y="49784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495300</xdr:colOff>
      <xdr:row>28</xdr:row>
      <xdr:rowOff>0</xdr:rowOff>
    </xdr:from>
    <xdr:to>
      <xdr:col>39</xdr:col>
      <xdr:colOff>563880</xdr:colOff>
      <xdr:row>51</xdr:row>
      <xdr:rowOff>15240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A1014AC-6A2D-41DC-ACB1-47EDB0397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83300" y="49784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28</xdr:row>
      <xdr:rowOff>0</xdr:rowOff>
    </xdr:from>
    <xdr:to>
      <xdr:col>50</xdr:col>
      <xdr:colOff>266700</xdr:colOff>
      <xdr:row>51</xdr:row>
      <xdr:rowOff>15240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E8221D4-3EEA-47A5-9A5E-B6CAE3D60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444500</xdr:colOff>
      <xdr:row>28</xdr:row>
      <xdr:rowOff>0</xdr:rowOff>
    </xdr:from>
    <xdr:to>
      <xdr:col>60</xdr:col>
      <xdr:colOff>48260</xdr:colOff>
      <xdr:row>51</xdr:row>
      <xdr:rowOff>15240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82B9928-AABC-490A-9D73-DA2717803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24500" y="49784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28</xdr:row>
      <xdr:rowOff>0</xdr:rowOff>
    </xdr:from>
    <xdr:to>
      <xdr:col>69</xdr:col>
      <xdr:colOff>68580</xdr:colOff>
      <xdr:row>51</xdr:row>
      <xdr:rowOff>15240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9ECBBD7-801E-4F83-A0A0-4ABA6BA7B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5120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381000</xdr:colOff>
      <xdr:row>28</xdr:row>
      <xdr:rowOff>38100</xdr:rowOff>
    </xdr:from>
    <xdr:to>
      <xdr:col>78</xdr:col>
      <xdr:colOff>472440</xdr:colOff>
      <xdr:row>51</xdr:row>
      <xdr:rowOff>53340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A77962A9-0C77-4A4B-ABB2-F8B6513DB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43400" y="50165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444500</xdr:colOff>
      <xdr:row>28</xdr:row>
      <xdr:rowOff>38100</xdr:rowOff>
    </xdr:from>
    <xdr:to>
      <xdr:col>88</xdr:col>
      <xdr:colOff>55880</xdr:colOff>
      <xdr:row>51</xdr:row>
      <xdr:rowOff>53340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4F6175FB-D61E-48C2-9273-6A9196DAF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93300" y="50165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28</xdr:row>
      <xdr:rowOff>0</xdr:rowOff>
    </xdr:from>
    <xdr:to>
      <xdr:col>98</xdr:col>
      <xdr:colOff>167640</xdr:colOff>
      <xdr:row>51</xdr:row>
      <xdr:rowOff>15240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92659C3F-5C6B-4BA0-A1EA-D9CA7721F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512064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355600</xdr:colOff>
      <xdr:row>28</xdr:row>
      <xdr:rowOff>25400</xdr:rowOff>
    </xdr:from>
    <xdr:to>
      <xdr:col>108</xdr:col>
      <xdr:colOff>5080</xdr:colOff>
      <xdr:row>51</xdr:row>
      <xdr:rowOff>40640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AD69B0CC-0205-4EAF-9BAD-A7990B12E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96400" y="5003800"/>
          <a:ext cx="57454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431800</xdr:colOff>
      <xdr:row>28</xdr:row>
      <xdr:rowOff>0</xdr:rowOff>
    </xdr:from>
    <xdr:to>
      <xdr:col>118</xdr:col>
      <xdr:colOff>81280</xdr:colOff>
      <xdr:row>51</xdr:row>
      <xdr:rowOff>15240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10BF3EC-36A0-4EA8-BDA2-28800CC6F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68600" y="4978400"/>
          <a:ext cx="57454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91440</xdr:colOff>
      <xdr:row>78</xdr:row>
      <xdr:rowOff>15240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4F1C34EE-8C5A-414F-9ABA-4823504AE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84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406400</xdr:colOff>
      <xdr:row>55</xdr:row>
      <xdr:rowOff>0</xdr:rowOff>
    </xdr:from>
    <xdr:to>
      <xdr:col>19</xdr:col>
      <xdr:colOff>452120</xdr:colOff>
      <xdr:row>78</xdr:row>
      <xdr:rowOff>15240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61E0F13F-05B8-4791-B760-6009A134C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2400" y="9779000"/>
          <a:ext cx="55321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55</xdr:row>
      <xdr:rowOff>0</xdr:rowOff>
    </xdr:from>
    <xdr:to>
      <xdr:col>30</xdr:col>
      <xdr:colOff>91440</xdr:colOff>
      <xdr:row>78</xdr:row>
      <xdr:rowOff>15240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F04425BD-F360-442A-9542-A35F30776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00584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393700</xdr:colOff>
      <xdr:row>55</xdr:row>
      <xdr:rowOff>38100</xdr:rowOff>
    </xdr:from>
    <xdr:to>
      <xdr:col>39</xdr:col>
      <xdr:colOff>332740</xdr:colOff>
      <xdr:row>78</xdr:row>
      <xdr:rowOff>53340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2A178D00-97F6-41C1-8BF9-459166A82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81700" y="9817100"/>
          <a:ext cx="54254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266700</xdr:colOff>
      <xdr:row>55</xdr:row>
      <xdr:rowOff>0</xdr:rowOff>
    </xdr:from>
    <xdr:to>
      <xdr:col>49</xdr:col>
      <xdr:colOff>358140</xdr:colOff>
      <xdr:row>78</xdr:row>
      <xdr:rowOff>15240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6AF723ED-D443-4A43-9508-27565B0CE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50700" y="97790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431800</xdr:colOff>
      <xdr:row>55</xdr:row>
      <xdr:rowOff>25400</xdr:rowOff>
    </xdr:from>
    <xdr:to>
      <xdr:col>59</xdr:col>
      <xdr:colOff>393700</xdr:colOff>
      <xdr:row>78</xdr:row>
      <xdr:rowOff>40640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3A3A2F01-D942-4B1A-A443-69B364249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11800" y="9804400"/>
          <a:ext cx="54483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482600</xdr:colOff>
      <xdr:row>55</xdr:row>
      <xdr:rowOff>0</xdr:rowOff>
    </xdr:from>
    <xdr:to>
      <xdr:col>68</xdr:col>
      <xdr:colOff>421640</xdr:colOff>
      <xdr:row>78</xdr:row>
      <xdr:rowOff>15240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50324CA1-96D9-4B92-BD40-FD27F24CD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0" y="9779000"/>
          <a:ext cx="54254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419100</xdr:colOff>
      <xdr:row>55</xdr:row>
      <xdr:rowOff>0</xdr:rowOff>
    </xdr:from>
    <xdr:to>
      <xdr:col>78</xdr:col>
      <xdr:colOff>358140</xdr:colOff>
      <xdr:row>78</xdr:row>
      <xdr:rowOff>15240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BE29D087-84D4-4EB8-B304-920601222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81500" y="9779000"/>
          <a:ext cx="54254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55</xdr:row>
      <xdr:rowOff>0</xdr:rowOff>
    </xdr:from>
    <xdr:to>
      <xdr:col>88</xdr:col>
      <xdr:colOff>45720</xdr:colOff>
      <xdr:row>78</xdr:row>
      <xdr:rowOff>15240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377F90AC-818B-4700-953F-2D9DC88D2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1005840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292100</xdr:colOff>
      <xdr:row>54</xdr:row>
      <xdr:rowOff>139700</xdr:rowOff>
    </xdr:from>
    <xdr:to>
      <xdr:col>97</xdr:col>
      <xdr:colOff>337820</xdr:colOff>
      <xdr:row>77</xdr:row>
      <xdr:rowOff>154940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2B8BFFE3-67E0-4810-90FE-21E6DA7DE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36900" y="9740900"/>
          <a:ext cx="55321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55</xdr:row>
      <xdr:rowOff>0</xdr:rowOff>
    </xdr:from>
    <xdr:to>
      <xdr:col>108</xdr:col>
      <xdr:colOff>38100</xdr:colOff>
      <xdr:row>78</xdr:row>
      <xdr:rowOff>15240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877A4FC-3C69-4592-A52C-5A587A68B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10058400"/>
          <a:ext cx="55245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55</xdr:row>
      <xdr:rowOff>0</xdr:rowOff>
    </xdr:from>
    <xdr:to>
      <xdr:col>118</xdr:col>
      <xdr:colOff>83820</xdr:colOff>
      <xdr:row>78</xdr:row>
      <xdr:rowOff>15240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D34A658-C1FE-4595-A232-7AC4342D6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058400"/>
          <a:ext cx="55702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241301</xdr:colOff>
      <xdr:row>2</xdr:row>
      <xdr:rowOff>159807</xdr:rowOff>
    </xdr:from>
    <xdr:to>
      <xdr:col>22</xdr:col>
      <xdr:colOff>43639</xdr:colOff>
      <xdr:row>32</xdr:row>
      <xdr:rowOff>102812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1AD40C-BD70-4A45-BC96-E110E4735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2626" y="1255182"/>
          <a:ext cx="5288738" cy="4105430"/>
        </a:xfrm>
        <a:prstGeom prst="rect">
          <a:avLst/>
        </a:prstGeom>
      </xdr:spPr>
    </xdr:pic>
    <xdr:clientData/>
  </xdr:twoCellAnchor>
  <xdr:twoCellAnchor>
    <xdr:from>
      <xdr:col>21</xdr:col>
      <xdr:colOff>247650</xdr:colOff>
      <xdr:row>16</xdr:row>
      <xdr:rowOff>2796</xdr:rowOff>
    </xdr:from>
    <xdr:to>
      <xdr:col>22</xdr:col>
      <xdr:colOff>431348</xdr:colOff>
      <xdr:row>17</xdr:row>
      <xdr:rowOff>142846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22A81643-F8E1-416E-B246-64C51B509C9E}"/>
            </a:ext>
          </a:extLst>
        </xdr:cNvPr>
        <xdr:cNvSpPr/>
      </xdr:nvSpPr>
      <xdr:spPr>
        <a:xfrm rot="10800000">
          <a:off x="15725775" y="3631821"/>
          <a:ext cx="793298" cy="3210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590550</xdr:colOff>
      <xdr:row>4</xdr:row>
      <xdr:rowOff>9525</xdr:rowOff>
    </xdr:from>
    <xdr:to>
      <xdr:col>32</xdr:col>
      <xdr:colOff>408130</xdr:colOff>
      <xdr:row>79</xdr:row>
      <xdr:rowOff>122370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CA4AE0DD-ED19-4BE8-8E71-7DC0009BDC29}"/>
            </a:ext>
          </a:extLst>
        </xdr:cNvPr>
        <xdr:cNvGrpSpPr/>
      </xdr:nvGrpSpPr>
      <xdr:grpSpPr>
        <a:xfrm>
          <a:off x="17287875" y="1095375"/>
          <a:ext cx="5303980" cy="12609645"/>
          <a:chOff x="17287875" y="1466850"/>
          <a:chExt cx="5303980" cy="13685970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3F069A-726C-42D4-B5DF-6BBB06551A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287875" y="1466850"/>
            <a:ext cx="5303980" cy="4366638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151CD37D-23F4-40C9-8B62-C82E2BC149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306925" y="5981700"/>
            <a:ext cx="5189670" cy="3124471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DE26109B-EF05-4F29-8360-7642804C44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316450" y="9077325"/>
            <a:ext cx="5197290" cy="868755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CD354377-6C20-4BC2-9F41-7077B67FB5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325975" y="9963150"/>
            <a:ext cx="5197290" cy="5189670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BAAD6-6C47-4A5C-A810-E6DDD2105052}">
  <sheetPr>
    <tabColor rgb="FFFFC000"/>
  </sheetPr>
  <dimension ref="A1:AD87"/>
  <sheetViews>
    <sheetView zoomScale="60" zoomScaleNormal="60" workbookViewId="0">
      <selection activeCell="C32" sqref="C32"/>
    </sheetView>
  </sheetViews>
  <sheetFormatPr defaultRowHeight="14.4" x14ac:dyDescent="0.3"/>
  <cols>
    <col min="1" max="1" width="11.33203125" customWidth="1"/>
    <col min="2" max="2" width="20.109375" customWidth="1"/>
    <col min="3" max="3" width="13.77734375" customWidth="1"/>
    <col min="4" max="4" width="16" customWidth="1"/>
    <col min="5" max="5" width="19.109375" customWidth="1"/>
    <col min="6" max="6" width="12.44140625" customWidth="1"/>
    <col min="7" max="7" width="14.21875" customWidth="1"/>
    <col min="8" max="8" width="19.21875" customWidth="1"/>
    <col min="9" max="9" width="10.77734375" customWidth="1"/>
    <col min="10" max="10" width="11.33203125" customWidth="1"/>
    <col min="11" max="11" width="18.5546875" customWidth="1"/>
    <col min="12" max="12" width="12.44140625" customWidth="1"/>
    <col min="14" max="14" width="11.44140625" customWidth="1"/>
    <col min="15" max="15" width="13.21875" bestFit="1" customWidth="1"/>
    <col min="19" max="19" width="5.77734375" customWidth="1"/>
    <col min="20" max="20" width="11.44140625" customWidth="1"/>
    <col min="21" max="21" width="14.44140625" customWidth="1"/>
    <col min="25" max="25" width="5.33203125" customWidth="1"/>
    <col min="26" max="26" width="11.44140625" customWidth="1"/>
    <col min="27" max="27" width="14.44140625" customWidth="1"/>
  </cols>
  <sheetData>
    <row r="1" spans="1:30" x14ac:dyDescent="0.3">
      <c r="A1" s="196" t="s">
        <v>107</v>
      </c>
      <c r="B1" s="197" t="s">
        <v>108</v>
      </c>
      <c r="C1" s="198" t="s">
        <v>109</v>
      </c>
      <c r="D1" s="196" t="s">
        <v>107</v>
      </c>
      <c r="E1" s="197" t="s">
        <v>108</v>
      </c>
      <c r="F1" s="198" t="s">
        <v>109</v>
      </c>
      <c r="G1" s="196" t="s">
        <v>107</v>
      </c>
      <c r="H1" s="197" t="s">
        <v>108</v>
      </c>
      <c r="I1" s="198" t="s">
        <v>109</v>
      </c>
      <c r="J1" s="196" t="s">
        <v>107</v>
      </c>
      <c r="K1" s="197" t="s">
        <v>108</v>
      </c>
      <c r="L1" s="198" t="s">
        <v>109</v>
      </c>
      <c r="N1" s="14" t="s">
        <v>110</v>
      </c>
      <c r="T1" s="14" t="s">
        <v>110</v>
      </c>
      <c r="Z1" s="14" t="s">
        <v>110</v>
      </c>
    </row>
    <row r="2" spans="1:30" ht="15" thickBot="1" x14ac:dyDescent="0.35">
      <c r="A2" s="5" t="s">
        <v>111</v>
      </c>
      <c r="B2" t="s">
        <v>147</v>
      </c>
      <c r="C2" s="8" t="s">
        <v>113</v>
      </c>
      <c r="D2" s="5" t="s">
        <v>105</v>
      </c>
      <c r="E2" t="s">
        <v>147</v>
      </c>
      <c r="F2" s="8" t="s">
        <v>113</v>
      </c>
      <c r="G2" s="5" t="s">
        <v>114</v>
      </c>
      <c r="H2" t="s">
        <v>147</v>
      </c>
      <c r="I2" s="8" t="s">
        <v>113</v>
      </c>
      <c r="J2" s="5" t="s">
        <v>106</v>
      </c>
      <c r="K2" t="s">
        <v>147</v>
      </c>
      <c r="L2" s="8" t="s">
        <v>112</v>
      </c>
      <c r="N2" s="14" t="s">
        <v>115</v>
      </c>
      <c r="T2" s="14" t="s">
        <v>115</v>
      </c>
      <c r="Z2" s="14" t="s">
        <v>115</v>
      </c>
    </row>
    <row r="3" spans="1:30" x14ac:dyDescent="0.3">
      <c r="A3" s="5" t="s">
        <v>111</v>
      </c>
      <c r="B3" t="s">
        <v>155</v>
      </c>
      <c r="C3" s="8" t="s">
        <v>113</v>
      </c>
      <c r="D3" s="5" t="s">
        <v>105</v>
      </c>
      <c r="E3" t="s">
        <v>155</v>
      </c>
      <c r="F3" s="8" t="s">
        <v>113</v>
      </c>
      <c r="G3" s="5" t="s">
        <v>114</v>
      </c>
      <c r="H3" t="s">
        <v>155</v>
      </c>
      <c r="I3" s="8" t="s">
        <v>113</v>
      </c>
      <c r="J3" s="5" t="s">
        <v>106</v>
      </c>
      <c r="K3" t="s">
        <v>155</v>
      </c>
      <c r="L3" s="8" t="s">
        <v>113</v>
      </c>
      <c r="N3" s="3"/>
      <c r="O3" s="4"/>
      <c r="P3" s="231" t="s">
        <v>116</v>
      </c>
      <c r="Q3" s="231"/>
      <c r="R3" s="232"/>
      <c r="T3" s="3"/>
      <c r="U3" s="4"/>
      <c r="V3" s="231" t="s">
        <v>116</v>
      </c>
      <c r="W3" s="231"/>
      <c r="X3" s="232"/>
      <c r="Z3" s="3"/>
      <c r="AA3" s="4"/>
      <c r="AB3" s="231" t="s">
        <v>116</v>
      </c>
      <c r="AC3" s="231"/>
      <c r="AD3" s="232"/>
    </row>
    <row r="4" spans="1:30" ht="24" x14ac:dyDescent="0.3">
      <c r="A4" s="5" t="s">
        <v>111</v>
      </c>
      <c r="B4" t="s">
        <v>156</v>
      </c>
      <c r="C4" s="8" t="s">
        <v>113</v>
      </c>
      <c r="D4" s="5" t="s">
        <v>105</v>
      </c>
      <c r="E4" t="s">
        <v>156</v>
      </c>
      <c r="F4" s="8" t="s">
        <v>113</v>
      </c>
      <c r="G4" s="5" t="s">
        <v>114</v>
      </c>
      <c r="H4" t="s">
        <v>156</v>
      </c>
      <c r="I4" s="8" t="s">
        <v>113</v>
      </c>
      <c r="J4" s="5" t="s">
        <v>106</v>
      </c>
      <c r="K4" t="s">
        <v>156</v>
      </c>
      <c r="L4" s="8" t="s">
        <v>113</v>
      </c>
      <c r="N4" s="5"/>
      <c r="O4" s="31" t="s">
        <v>118</v>
      </c>
      <c r="P4" s="199" t="s">
        <v>119</v>
      </c>
      <c r="Q4" s="199" t="s">
        <v>120</v>
      </c>
      <c r="R4" s="200" t="s">
        <v>121</v>
      </c>
      <c r="T4" s="5"/>
      <c r="U4" s="31" t="s">
        <v>118</v>
      </c>
      <c r="V4" s="199" t="s">
        <v>119</v>
      </c>
      <c r="W4" s="199" t="s">
        <v>120</v>
      </c>
      <c r="X4" s="200" t="s">
        <v>121</v>
      </c>
      <c r="Z4" s="5"/>
      <c r="AA4" s="31" t="s">
        <v>118</v>
      </c>
      <c r="AB4" s="199" t="s">
        <v>119</v>
      </c>
      <c r="AC4" s="199" t="s">
        <v>120</v>
      </c>
      <c r="AD4" s="200" t="s">
        <v>121</v>
      </c>
    </row>
    <row r="5" spans="1:30" x14ac:dyDescent="0.3">
      <c r="A5" s="5" t="s">
        <v>111</v>
      </c>
      <c r="B5" t="s">
        <v>149</v>
      </c>
      <c r="C5" s="8" t="s">
        <v>112</v>
      </c>
      <c r="D5" s="5" t="s">
        <v>105</v>
      </c>
      <c r="E5" t="s">
        <v>149</v>
      </c>
      <c r="F5" s="8" t="s">
        <v>112</v>
      </c>
      <c r="G5" s="5" t="s">
        <v>114</v>
      </c>
      <c r="H5" t="s">
        <v>149</v>
      </c>
      <c r="I5" s="8" t="s">
        <v>112</v>
      </c>
      <c r="J5" s="5" t="s">
        <v>106</v>
      </c>
      <c r="K5" t="s">
        <v>149</v>
      </c>
      <c r="L5" s="8" t="s">
        <v>117</v>
      </c>
      <c r="N5" s="221" t="s">
        <v>111</v>
      </c>
      <c r="O5" s="201" t="s">
        <v>119</v>
      </c>
      <c r="P5" s="202">
        <f>COUNTIFS(C2:C21,"ON",I2:I21,"ON")</f>
        <v>6</v>
      </c>
      <c r="Q5" s="202">
        <f>COUNTIFS(C2:C21,"ON",I2:I21,"NE")</f>
        <v>0</v>
      </c>
      <c r="R5" s="203">
        <f>COUNTIFS(C2:C21,"ON",I2:I21,"OFF")</f>
        <v>0</v>
      </c>
      <c r="T5" s="221" t="s">
        <v>105</v>
      </c>
      <c r="U5" s="201" t="s">
        <v>119</v>
      </c>
      <c r="V5" s="202">
        <f>COUNTIFS(F2:F21,"ON",I2:I21,"ON")</f>
        <v>6</v>
      </c>
      <c r="W5" s="202">
        <f>COUNTIFS(F2:F21,"ON",I2:I21,"NE")</f>
        <v>0</v>
      </c>
      <c r="X5" s="203">
        <f>COUNTIFS(F2:F21,"ON",I2:I21,"OFF")</f>
        <v>0</v>
      </c>
      <c r="Z5" s="221" t="s">
        <v>106</v>
      </c>
      <c r="AA5" s="201" t="s">
        <v>119</v>
      </c>
      <c r="AB5" s="202">
        <f>COUNTIFS(L2:L21,"ON",I2:I21,"ON")</f>
        <v>5</v>
      </c>
      <c r="AC5" s="202">
        <f>COUNTIFS(L2:L21,"ON",I2:I21,"NE")</f>
        <v>0</v>
      </c>
      <c r="AD5" s="203">
        <f>COUNTIFS(L2:L21,"ON",I2:I21,"OFF")</f>
        <v>1</v>
      </c>
    </row>
    <row r="6" spans="1:30" x14ac:dyDescent="0.3">
      <c r="A6" s="5" t="s">
        <v>111</v>
      </c>
      <c r="B6" t="s">
        <v>157</v>
      </c>
      <c r="C6" s="8" t="s">
        <v>113</v>
      </c>
      <c r="D6" s="5" t="s">
        <v>105</v>
      </c>
      <c r="E6" t="s">
        <v>157</v>
      </c>
      <c r="F6" s="8" t="s">
        <v>113</v>
      </c>
      <c r="G6" s="5" t="s">
        <v>114</v>
      </c>
      <c r="H6" t="s">
        <v>157</v>
      </c>
      <c r="I6" s="8" t="s">
        <v>113</v>
      </c>
      <c r="J6" s="5" t="s">
        <v>106</v>
      </c>
      <c r="K6" t="s">
        <v>157</v>
      </c>
      <c r="L6" s="8" t="s">
        <v>113</v>
      </c>
      <c r="N6" s="221"/>
      <c r="O6" s="201" t="s">
        <v>120</v>
      </c>
      <c r="P6" s="202">
        <f>COUNTIFS(C2:C21,"NE",I2:I21,"ON")</f>
        <v>0</v>
      </c>
      <c r="Q6" s="202">
        <f>COUNTIFS(C2:C21,"NE",I2:I21,"NE")</f>
        <v>1</v>
      </c>
      <c r="R6" s="203">
        <f>COUNTIFS(C2:C21,"NE",I2:I21,"OFF")</f>
        <v>0</v>
      </c>
      <c r="T6" s="221"/>
      <c r="U6" s="201" t="s">
        <v>120</v>
      </c>
      <c r="V6" s="202">
        <f>COUNTIFS(F2:F21,"NE",I2:I21,"ON")</f>
        <v>0</v>
      </c>
      <c r="W6" s="202">
        <f>COUNTIFS(F2:F21,"NE",I2:I21,"NE")</f>
        <v>1</v>
      </c>
      <c r="X6" s="203">
        <f>COUNTIFS(F2:F21,"NE",I2:I21,"OFF")</f>
        <v>0</v>
      </c>
      <c r="Z6" s="221"/>
      <c r="AA6" s="201" t="s">
        <v>120</v>
      </c>
      <c r="AB6" s="202">
        <f>COUNTIFS(L2:L21,"NE",I2:I21,"ON")</f>
        <v>1</v>
      </c>
      <c r="AC6" s="202">
        <f>COUNTIFS(L2:L21,"NE",I2:I21,"NE")</f>
        <v>0</v>
      </c>
      <c r="AD6" s="203">
        <f>COUNTIFS(L2:L21,"NE",I2:I21,"OFF")</f>
        <v>5</v>
      </c>
    </row>
    <row r="7" spans="1:30" x14ac:dyDescent="0.3">
      <c r="A7" s="5" t="s">
        <v>111</v>
      </c>
      <c r="B7" t="s">
        <v>144</v>
      </c>
      <c r="C7" s="8" t="s">
        <v>113</v>
      </c>
      <c r="D7" s="5" t="s">
        <v>105</v>
      </c>
      <c r="E7" t="s">
        <v>144</v>
      </c>
      <c r="F7" s="8" t="s">
        <v>113</v>
      </c>
      <c r="G7" s="5" t="s">
        <v>114</v>
      </c>
      <c r="H7" t="s">
        <v>144</v>
      </c>
      <c r="I7" s="8" t="s">
        <v>113</v>
      </c>
      <c r="J7" s="5" t="s">
        <v>106</v>
      </c>
      <c r="K7" t="s">
        <v>144</v>
      </c>
      <c r="L7" s="8" t="s">
        <v>113</v>
      </c>
      <c r="N7" s="221"/>
      <c r="O7" s="201" t="s">
        <v>121</v>
      </c>
      <c r="P7" s="202">
        <f>COUNTIFS(C2:C21,"OFF",I2:I21,"ON")</f>
        <v>0</v>
      </c>
      <c r="Q7" s="202">
        <f>COUNTIFS(C2:C21,"OFF",I2:I21,"NE")</f>
        <v>0</v>
      </c>
      <c r="R7" s="203">
        <f>COUNTIFS(C2:C21,"OFF",I2:I21,"OFF")</f>
        <v>8</v>
      </c>
      <c r="T7" s="221"/>
      <c r="U7" s="201" t="s">
        <v>121</v>
      </c>
      <c r="V7" s="202">
        <f>COUNTIFS(F2:F21,"OFF",I2:I21,"ON")</f>
        <v>0</v>
      </c>
      <c r="W7" s="202">
        <f>COUNTIFS(F2:F21,"OFF",I2:I21,"NE")</f>
        <v>0</v>
      </c>
      <c r="X7" s="203">
        <f>COUNTIFS(F2:F21,"OFF",I2:I21,"OFF")</f>
        <v>8</v>
      </c>
      <c r="Z7" s="221"/>
      <c r="AA7" s="201" t="s">
        <v>121</v>
      </c>
      <c r="AB7" s="202">
        <f>COUNTIFS(L2:L21,"OFF",I2:I21,"ON")</f>
        <v>0</v>
      </c>
      <c r="AC7" s="202">
        <f>COUNTIFS(L2:L21,"OFF",I2:I21,"NE")</f>
        <v>1</v>
      </c>
      <c r="AD7" s="203">
        <f>COUNTIFS(L2:L21,"OFF",I2:I21,"OFF")</f>
        <v>2</v>
      </c>
    </row>
    <row r="8" spans="1:30" x14ac:dyDescent="0.3">
      <c r="A8" s="5" t="s">
        <v>111</v>
      </c>
      <c r="B8" t="s">
        <v>152</v>
      </c>
      <c r="C8" s="8" t="s">
        <v>117</v>
      </c>
      <c r="D8" s="5" t="s">
        <v>105</v>
      </c>
      <c r="E8" t="s">
        <v>152</v>
      </c>
      <c r="F8" s="8" t="s">
        <v>117</v>
      </c>
      <c r="G8" s="5" t="s">
        <v>114</v>
      </c>
      <c r="H8" t="s">
        <v>152</v>
      </c>
      <c r="I8" s="8" t="s">
        <v>117</v>
      </c>
      <c r="J8" s="5" t="s">
        <v>106</v>
      </c>
      <c r="K8" t="s">
        <v>152</v>
      </c>
      <c r="L8" s="8" t="s">
        <v>113</v>
      </c>
      <c r="N8" s="5"/>
      <c r="R8" s="27"/>
      <c r="T8" s="5"/>
      <c r="X8" s="27"/>
      <c r="Z8" s="5"/>
      <c r="AD8" s="27"/>
    </row>
    <row r="9" spans="1:30" ht="14.4" customHeight="1" x14ac:dyDescent="0.3">
      <c r="A9" s="5" t="s">
        <v>111</v>
      </c>
      <c r="B9" t="s">
        <v>146</v>
      </c>
      <c r="C9" s="8" t="s">
        <v>117</v>
      </c>
      <c r="D9" s="5" t="s">
        <v>105</v>
      </c>
      <c r="E9" t="s">
        <v>146</v>
      </c>
      <c r="F9" s="8" t="s">
        <v>117</v>
      </c>
      <c r="G9" s="5" t="s">
        <v>114</v>
      </c>
      <c r="H9" t="s">
        <v>146</v>
      </c>
      <c r="I9" s="8" t="s">
        <v>117</v>
      </c>
      <c r="J9" s="5" t="s">
        <v>106</v>
      </c>
      <c r="K9" t="s">
        <v>146</v>
      </c>
      <c r="L9" s="8" t="s">
        <v>112</v>
      </c>
      <c r="N9" s="222" t="s">
        <v>122</v>
      </c>
      <c r="O9" s="223"/>
      <c r="P9" s="223"/>
      <c r="Q9" s="223"/>
      <c r="R9" s="224"/>
      <c r="T9" s="204" t="s">
        <v>122</v>
      </c>
      <c r="X9" s="27"/>
      <c r="Z9" s="204" t="s">
        <v>122</v>
      </c>
      <c r="AD9" s="27"/>
    </row>
    <row r="10" spans="1:30" x14ac:dyDescent="0.3">
      <c r="A10" s="5" t="s">
        <v>111</v>
      </c>
      <c r="B10" t="s">
        <v>153</v>
      </c>
      <c r="C10" s="8" t="s">
        <v>117</v>
      </c>
      <c r="D10" s="5" t="s">
        <v>105</v>
      </c>
      <c r="E10" t="s">
        <v>153</v>
      </c>
      <c r="F10" s="8" t="s">
        <v>117</v>
      </c>
      <c r="G10" s="5" t="s">
        <v>114</v>
      </c>
      <c r="H10" t="s">
        <v>153</v>
      </c>
      <c r="I10" s="8" t="s">
        <v>117</v>
      </c>
      <c r="J10" s="5" t="s">
        <v>106</v>
      </c>
      <c r="K10" t="s">
        <v>153</v>
      </c>
      <c r="L10" s="8" t="s">
        <v>112</v>
      </c>
      <c r="N10" s="5"/>
      <c r="P10" s="230" t="s">
        <v>116</v>
      </c>
      <c r="Q10" s="230"/>
      <c r="R10" s="27"/>
      <c r="T10" s="5"/>
      <c r="V10" s="230" t="s">
        <v>116</v>
      </c>
      <c r="W10" s="230"/>
      <c r="X10" s="27"/>
      <c r="Z10" s="5"/>
      <c r="AB10" s="230" t="s">
        <v>116</v>
      </c>
      <c r="AC10" s="230"/>
      <c r="AD10" s="27"/>
    </row>
    <row r="11" spans="1:30" ht="24" x14ac:dyDescent="0.3">
      <c r="A11" s="5" t="s">
        <v>111</v>
      </c>
      <c r="B11" t="s">
        <v>154</v>
      </c>
      <c r="C11" s="8" t="s">
        <v>117</v>
      </c>
      <c r="D11" s="5" t="s">
        <v>105</v>
      </c>
      <c r="E11" t="s">
        <v>154</v>
      </c>
      <c r="F11" s="8" t="s">
        <v>117</v>
      </c>
      <c r="G11" s="5" t="s">
        <v>114</v>
      </c>
      <c r="H11" t="s">
        <v>154</v>
      </c>
      <c r="I11" s="8" t="s">
        <v>117</v>
      </c>
      <c r="J11" s="5" t="s">
        <v>106</v>
      </c>
      <c r="K11" t="s">
        <v>154</v>
      </c>
      <c r="L11" s="8" t="s">
        <v>112</v>
      </c>
      <c r="N11" s="5"/>
      <c r="O11" s="31" t="s">
        <v>123</v>
      </c>
      <c r="P11" s="199" t="s">
        <v>119</v>
      </c>
      <c r="Q11" s="199" t="s">
        <v>121</v>
      </c>
      <c r="R11" s="27"/>
      <c r="T11" s="5"/>
      <c r="U11" s="31" t="s">
        <v>123</v>
      </c>
      <c r="V11" s="199" t="s">
        <v>119</v>
      </c>
      <c r="W11" s="199" t="s">
        <v>121</v>
      </c>
      <c r="X11" s="27"/>
      <c r="Z11" s="5"/>
      <c r="AA11" s="31" t="s">
        <v>123</v>
      </c>
      <c r="AB11" s="199" t="s">
        <v>119</v>
      </c>
      <c r="AC11" s="199" t="s">
        <v>121</v>
      </c>
      <c r="AD11" s="27"/>
    </row>
    <row r="12" spans="1:30" x14ac:dyDescent="0.3">
      <c r="A12" s="5" t="s">
        <v>111</v>
      </c>
      <c r="B12" t="s">
        <v>143</v>
      </c>
      <c r="C12" s="8" t="s">
        <v>113</v>
      </c>
      <c r="D12" s="5" t="s">
        <v>105</v>
      </c>
      <c r="E12" t="s">
        <v>143</v>
      </c>
      <c r="F12" s="8" t="s">
        <v>113</v>
      </c>
      <c r="G12" s="5" t="s">
        <v>114</v>
      </c>
      <c r="H12" t="s">
        <v>143</v>
      </c>
      <c r="I12" s="8" t="s">
        <v>113</v>
      </c>
      <c r="J12" s="5" t="s">
        <v>106</v>
      </c>
      <c r="K12" t="s">
        <v>143</v>
      </c>
      <c r="L12" s="8" t="s">
        <v>113</v>
      </c>
      <c r="N12" s="221" t="s">
        <v>111</v>
      </c>
      <c r="O12" s="201" t="s">
        <v>119</v>
      </c>
      <c r="P12" s="202">
        <f>P5</f>
        <v>6</v>
      </c>
      <c r="Q12" s="202">
        <f>SUM(Q5:R5)</f>
        <v>0</v>
      </c>
      <c r="R12" s="72"/>
      <c r="T12" s="221" t="s">
        <v>105</v>
      </c>
      <c r="U12" s="201" t="s">
        <v>119</v>
      </c>
      <c r="V12" s="202">
        <f>V5</f>
        <v>6</v>
      </c>
      <c r="W12" s="202">
        <f>SUM(W5:X5)</f>
        <v>0</v>
      </c>
      <c r="X12" s="72"/>
      <c r="Z12" s="221" t="s">
        <v>106</v>
      </c>
      <c r="AA12" s="201" t="s">
        <v>119</v>
      </c>
      <c r="AB12" s="202">
        <f>AB5</f>
        <v>5</v>
      </c>
      <c r="AC12" s="202">
        <f>SUM(AC5:AD5)</f>
        <v>1</v>
      </c>
      <c r="AD12" s="72"/>
    </row>
    <row r="13" spans="1:30" x14ac:dyDescent="0.3">
      <c r="A13" s="5" t="s">
        <v>111</v>
      </c>
      <c r="B13" t="s">
        <v>148</v>
      </c>
      <c r="C13" s="8" t="s">
        <v>117</v>
      </c>
      <c r="D13" s="5" t="s">
        <v>105</v>
      </c>
      <c r="E13" t="s">
        <v>148</v>
      </c>
      <c r="F13" s="8" t="s">
        <v>117</v>
      </c>
      <c r="G13" s="5" t="s">
        <v>114</v>
      </c>
      <c r="H13" t="s">
        <v>148</v>
      </c>
      <c r="I13" s="8" t="s">
        <v>117</v>
      </c>
      <c r="J13" s="5" t="s">
        <v>106</v>
      </c>
      <c r="K13" t="s">
        <v>148</v>
      </c>
      <c r="L13" s="8" t="s">
        <v>112</v>
      </c>
      <c r="N13" s="221"/>
      <c r="O13" s="201" t="s">
        <v>121</v>
      </c>
      <c r="P13" s="202">
        <f>SUM(P6:P7)</f>
        <v>0</v>
      </c>
      <c r="Q13" s="202">
        <f>SUM(Q6:R7)</f>
        <v>9</v>
      </c>
      <c r="R13" s="72"/>
      <c r="T13" s="221"/>
      <c r="U13" s="201" t="s">
        <v>121</v>
      </c>
      <c r="V13" s="202">
        <f>SUM(V6:V7)</f>
        <v>0</v>
      </c>
      <c r="W13" s="202">
        <f>SUM(W6:X7)</f>
        <v>9</v>
      </c>
      <c r="X13" s="72"/>
      <c r="Z13" s="221"/>
      <c r="AA13" s="201" t="s">
        <v>121</v>
      </c>
      <c r="AB13" s="202">
        <f>SUM(AB6:AB7)</f>
        <v>1</v>
      </c>
      <c r="AC13" s="202">
        <f>SUM(AC6:AD7)</f>
        <v>8</v>
      </c>
      <c r="AD13" s="72"/>
    </row>
    <row r="14" spans="1:30" x14ac:dyDescent="0.3">
      <c r="A14" s="5" t="s">
        <v>111</v>
      </c>
      <c r="B14" t="s">
        <v>150</v>
      </c>
      <c r="C14" s="8" t="s">
        <v>117</v>
      </c>
      <c r="D14" s="5" t="s">
        <v>105</v>
      </c>
      <c r="E14" t="s">
        <v>150</v>
      </c>
      <c r="F14" s="8" t="s">
        <v>117</v>
      </c>
      <c r="G14" s="5" t="s">
        <v>114</v>
      </c>
      <c r="H14" t="s">
        <v>150</v>
      </c>
      <c r="I14" s="8" t="s">
        <v>117</v>
      </c>
      <c r="J14" s="5" t="s">
        <v>106</v>
      </c>
      <c r="K14" t="s">
        <v>150</v>
      </c>
      <c r="L14" s="8" t="s">
        <v>112</v>
      </c>
      <c r="N14" s="5"/>
      <c r="R14" s="27"/>
      <c r="T14" s="5"/>
      <c r="X14" s="27"/>
      <c r="Z14" s="5"/>
      <c r="AD14" s="27"/>
    </row>
    <row r="15" spans="1:30" ht="36" x14ac:dyDescent="0.3">
      <c r="A15" s="5" t="s">
        <v>111</v>
      </c>
      <c r="B15" t="s">
        <v>145</v>
      </c>
      <c r="C15" s="8" t="s">
        <v>117</v>
      </c>
      <c r="D15" s="5" t="s">
        <v>105</v>
      </c>
      <c r="E15" t="s">
        <v>145</v>
      </c>
      <c r="F15" s="8" t="s">
        <v>117</v>
      </c>
      <c r="G15" s="5" t="s">
        <v>114</v>
      </c>
      <c r="H15" t="s">
        <v>145</v>
      </c>
      <c r="I15" s="8" t="s">
        <v>117</v>
      </c>
      <c r="J15" s="5" t="s">
        <v>106</v>
      </c>
      <c r="K15" t="s">
        <v>145</v>
      </c>
      <c r="L15" s="8" t="s">
        <v>117</v>
      </c>
      <c r="N15" s="205" t="s">
        <v>0</v>
      </c>
      <c r="O15" s="206" t="s">
        <v>61</v>
      </c>
      <c r="P15" s="199" t="s">
        <v>124</v>
      </c>
      <c r="Q15" s="199" t="s">
        <v>125</v>
      </c>
      <c r="R15" s="27"/>
      <c r="T15" s="205" t="s">
        <v>23</v>
      </c>
      <c r="U15" s="206" t="s">
        <v>61</v>
      </c>
      <c r="V15" s="199" t="s">
        <v>124</v>
      </c>
      <c r="W15" s="199" t="s">
        <v>125</v>
      </c>
      <c r="X15" s="27"/>
      <c r="Z15" s="205" t="s">
        <v>9</v>
      </c>
      <c r="AA15" s="206" t="s">
        <v>61</v>
      </c>
      <c r="AB15" s="199" t="s">
        <v>124</v>
      </c>
      <c r="AC15" s="199" t="s">
        <v>125</v>
      </c>
      <c r="AD15" s="27"/>
    </row>
    <row r="16" spans="1:30" x14ac:dyDescent="0.3">
      <c r="A16" s="5" t="s">
        <v>111</v>
      </c>
      <c r="B16" t="s">
        <v>151</v>
      </c>
      <c r="C16" s="8" t="s">
        <v>117</v>
      </c>
      <c r="D16" s="5" t="s">
        <v>105</v>
      </c>
      <c r="E16" t="s">
        <v>151</v>
      </c>
      <c r="F16" s="8" t="s">
        <v>117</v>
      </c>
      <c r="G16" s="5" t="s">
        <v>114</v>
      </c>
      <c r="H16" t="s">
        <v>151</v>
      </c>
      <c r="I16" s="8" t="s">
        <v>117</v>
      </c>
      <c r="J16" s="5" t="s">
        <v>106</v>
      </c>
      <c r="K16" t="s">
        <v>151</v>
      </c>
      <c r="L16" s="8" t="s">
        <v>117</v>
      </c>
      <c r="N16" s="207" t="s">
        <v>126</v>
      </c>
      <c r="O16" s="208">
        <f>Q13/SUM(Q12:Q13)</f>
        <v>1</v>
      </c>
      <c r="P16" s="208">
        <f>((2*Q13+NORMSINV(0.975)^2)-(NORMSINV(0.975)*SQRT(NORMSINV(0.975)^2+(4*Q12*Q13)/(Q12+Q13))))/(2*(Q12+Q13+NORMSINV(0.975)^2))</f>
        <v>0.70085495158045608</v>
      </c>
      <c r="Q16" s="208">
        <f>((2*Q13+NORMSINV(0.975)^2)+(NORMSINV(0.975)*SQRT(NORMSINV(0.975)^2+(4*Q12*Q13)/(Q12+Q13))))/(2*(Q12+Q13+NORMSINV(0.975)^2))</f>
        <v>0.99999999999999989</v>
      </c>
      <c r="R16" s="27"/>
      <c r="T16" s="207" t="s">
        <v>126</v>
      </c>
      <c r="U16" s="208">
        <f>W13/SUM(W12:W13)</f>
        <v>1</v>
      </c>
      <c r="V16" s="208">
        <f>((2*W13+NORMSINV(0.975)^2)-(NORMSINV(0.975)*SQRT(NORMSINV(0.975)^2+(4*W12*W13)/(W12+W13))))/(2*(W12+W13+NORMSINV(0.975)^2))</f>
        <v>0.70085495158045608</v>
      </c>
      <c r="W16" s="208">
        <f>((2*W13+NORMSINV(0.975)^2)+(NORMSINV(0.975)*SQRT(NORMSINV(0.975)^2+(4*W12*W13)/(W12+W13))))/(2*(W12+W13+NORMSINV(0.975)^2))</f>
        <v>0.99999999999999989</v>
      </c>
      <c r="X16" s="27"/>
      <c r="Z16" s="207" t="s">
        <v>126</v>
      </c>
      <c r="AA16" s="208">
        <f>AC13/SUM(AC12:AC13)</f>
        <v>0.88888888888888884</v>
      </c>
      <c r="AB16" s="208">
        <f>((2*AC13+NORMSINV(0.975)^2)-(NORMSINV(0.975)*SQRT(NORMSINV(0.975)^2+(4*AC12*AC13)/(AC12+AC13))))/(2*(AC12+AC13+NORMSINV(0.975)^2))</f>
        <v>0.56500029442334398</v>
      </c>
      <c r="AC16" s="208">
        <f>((2*AC13+NORMSINV(0.975)^2)+(NORMSINV(0.975)*SQRT(NORMSINV(0.975)^2+(4*AC12*AC13)/(AC12+AC13))))/(2*(AC12+AC13+NORMSINV(0.975)^2))</f>
        <v>0.98010911236145504</v>
      </c>
      <c r="AD16" s="27"/>
    </row>
    <row r="17" spans="1:30" x14ac:dyDescent="0.3">
      <c r="A17" s="5"/>
      <c r="C17" s="27"/>
      <c r="D17" s="5"/>
      <c r="F17" s="27"/>
      <c r="G17" s="5"/>
      <c r="I17" s="27"/>
      <c r="J17" s="5"/>
      <c r="L17" s="27"/>
      <c r="N17" s="207" t="s">
        <v>127</v>
      </c>
      <c r="O17" s="208">
        <f>P12/SUM(P12:P13)</f>
        <v>1</v>
      </c>
      <c r="P17" s="208">
        <f>((2*P12+NORMSINV(0.975)^2)-(NORMSINV(0.975)*SQRT(NORMSINV(0.975)^2+(4*P12*P13)/(P12+P13))))/(2*(P12+P13+NORMSINV(0.975)^2))</f>
        <v>0.60966571209783471</v>
      </c>
      <c r="Q17" s="208">
        <f>((2*P12+NORMSINV(0.975)^2)+(NORMSINV(0.975)*SQRT(NORMSINV(0.975)^2+(4*P12*P13)/(P12+P13))))/(2*(P12+P13+NORMSINV(0.975)^2))</f>
        <v>1</v>
      </c>
      <c r="R17" s="27"/>
      <c r="T17" s="207" t="s">
        <v>127</v>
      </c>
      <c r="U17" s="208">
        <f>V12/SUM(V12:V13)</f>
        <v>1</v>
      </c>
      <c r="V17" s="208">
        <f>((2*V12+NORMSINV(0.975)^2)-(NORMSINV(0.975)*SQRT(NORMSINV(0.975)^2+(4*V12*V13)/(V12+V13))))/(2*(V12+V13+NORMSINV(0.975)^2))</f>
        <v>0.60966571209783471</v>
      </c>
      <c r="W17" s="208">
        <f>((2*V12+NORMSINV(0.975)^2)+(NORMSINV(0.975)*SQRT(NORMSINV(0.975)^2+(4*V12*V13)/(V12+V13))))/(2*(V12+V13+NORMSINV(0.975)^2))</f>
        <v>1</v>
      </c>
      <c r="X17" s="27"/>
      <c r="Z17" s="207" t="s">
        <v>127</v>
      </c>
      <c r="AA17" s="208">
        <f>AB12/SUM(AB12:AB13)</f>
        <v>0.83333333333333337</v>
      </c>
      <c r="AB17" s="208">
        <f>((2*AB12+NORMSINV(0.975)^2)-(NORMSINV(0.975)*SQRT(NORMSINV(0.975)^2+(4*AB12*AB13)/(AB12+AB13))))/(2*(AB12+AB13+NORMSINV(0.975)^2))</f>
        <v>0.43649717781352981</v>
      </c>
      <c r="AC17" s="208">
        <f>((2*AB12+NORMSINV(0.975)^2)+(NORMSINV(0.975)*SQRT(NORMSINV(0.975)^2+(4*AB12*AB13)/(AB12+AB13))))/(2*(AB12+AB13+NORMSINV(0.975)^2))</f>
        <v>0.96994663025169348</v>
      </c>
      <c r="AD17" s="27"/>
    </row>
    <row r="18" spans="1:30" x14ac:dyDescent="0.3">
      <c r="A18" s="5"/>
      <c r="C18" s="27"/>
      <c r="D18" s="5"/>
      <c r="F18" s="27"/>
      <c r="G18" s="5"/>
      <c r="I18" s="27"/>
      <c r="J18" s="5"/>
      <c r="L18" s="27"/>
      <c r="N18" s="207" t="s">
        <v>128</v>
      </c>
      <c r="O18" s="208">
        <f>SUM(P12,Q13)/SUM(P12:Q13)</f>
        <v>1</v>
      </c>
      <c r="P18" s="208">
        <f>((2*(P12+Q13)+NORMSINV(0.975)^2)-(NORMSINV(0.975)*SQRT(NORMSINV(0.975)^2+(4*(P12+Q13)*(Q12+P13))/SUM(P12:Q13))))/(2*(SUM(P12:Q13)+NORMSINV(0.975)^2))</f>
        <v>0.79611669896415149</v>
      </c>
      <c r="Q18" s="208">
        <f>((2*(P12+Q13)+NORMSINV(0.975)^2)+(NORMSINV(0.975)*SQRT(NORMSINV(0.975)^2+(4*(P12+Q13)*(Q12+P13))/SUM(P12:Q13))))/(2*(SUM(P12:Q13)+NORMSINV(0.975)^2))</f>
        <v>1</v>
      </c>
      <c r="R18" s="27"/>
      <c r="T18" s="207" t="s">
        <v>128</v>
      </c>
      <c r="U18" s="208">
        <f>SUM(V12,W13)/SUM(V12:W13)</f>
        <v>1</v>
      </c>
      <c r="V18" s="208">
        <f>((2*(V12+W13)+NORMSINV(0.975)^2)-(NORMSINV(0.975)*SQRT(NORMSINV(0.975)^2+(4*(V12+W13)*(W12+V13))/SUM(V12:W13))))/(2*(SUM(V12:W13)+NORMSINV(0.975)^2))</f>
        <v>0.79611669896415149</v>
      </c>
      <c r="W18" s="208">
        <f>((2*(V12+W13)+NORMSINV(0.975)^2)+(NORMSINV(0.975)*SQRT(NORMSINV(0.975)^2+(4*(V12+W13)*(W12+V13))/SUM(V12:W13))))/(2*(SUM(V12:W13)+NORMSINV(0.975)^2))</f>
        <v>1</v>
      </c>
      <c r="X18" s="27"/>
      <c r="Z18" s="207" t="s">
        <v>128</v>
      </c>
      <c r="AA18" s="208">
        <f>SUM(AB12,AC13)/SUM(AB12:AC13)</f>
        <v>0.8666666666666667</v>
      </c>
      <c r="AB18" s="208">
        <f>((2*(AB12+AC13)+NORMSINV(0.975)^2)-(NORMSINV(0.975)*SQRT(NORMSINV(0.975)^2+(4*(AB12+AC13)*(AC12+AB13))/SUM(AB12:AC13))))/(2*(SUM(AB12:AC13)+NORMSINV(0.975)^2))</f>
        <v>0.62118017167677642</v>
      </c>
      <c r="AC18" s="208">
        <f>((2*(AB12+AC13)+NORMSINV(0.975)^2)+(NORMSINV(0.975)*SQRT(NORMSINV(0.975)^2+(4*(AB12+AC13)*(AC12+AB13))/SUM(AB12:AC13))))/(2*(SUM(AB12:AC13)+NORMSINV(0.975)^2))</f>
        <v>0.96263874089693469</v>
      </c>
      <c r="AD18" s="27"/>
    </row>
    <row r="19" spans="1:30" x14ac:dyDescent="0.3">
      <c r="A19" s="5"/>
      <c r="C19" s="27"/>
      <c r="D19" s="5"/>
      <c r="F19" s="27"/>
      <c r="G19" s="5"/>
      <c r="I19" s="27"/>
      <c r="J19" s="5"/>
      <c r="L19" s="27"/>
      <c r="N19" s="5"/>
      <c r="R19" s="27"/>
      <c r="T19" s="5"/>
      <c r="X19" s="27"/>
      <c r="Z19" s="5"/>
      <c r="AD19" s="27"/>
    </row>
    <row r="20" spans="1:30" ht="33" customHeight="1" x14ac:dyDescent="0.3">
      <c r="A20" s="5"/>
      <c r="C20" s="27"/>
      <c r="D20" s="5"/>
      <c r="F20" s="27"/>
      <c r="G20" s="5"/>
      <c r="I20" s="27"/>
      <c r="J20" s="5"/>
      <c r="L20" s="27"/>
      <c r="N20" s="222" t="s">
        <v>129</v>
      </c>
      <c r="O20" s="223"/>
      <c r="P20" s="223"/>
      <c r="Q20" s="223"/>
      <c r="R20" s="224"/>
      <c r="T20" s="225" t="s">
        <v>129</v>
      </c>
      <c r="U20" s="226"/>
      <c r="V20" s="226"/>
      <c r="W20" s="226"/>
      <c r="X20" s="227"/>
      <c r="Z20" s="225" t="s">
        <v>129</v>
      </c>
      <c r="AA20" s="226"/>
      <c r="AB20" s="226"/>
      <c r="AC20" s="226"/>
      <c r="AD20" s="227"/>
    </row>
    <row r="21" spans="1:30" ht="15" thickBot="1" x14ac:dyDescent="0.35">
      <c r="A21" s="9"/>
      <c r="B21" s="10"/>
      <c r="C21" s="28"/>
      <c r="D21" s="9"/>
      <c r="E21" s="10"/>
      <c r="F21" s="28"/>
      <c r="G21" s="9"/>
      <c r="H21" s="10"/>
      <c r="I21" s="28"/>
      <c r="J21" s="9"/>
      <c r="K21" s="10"/>
      <c r="L21" s="28"/>
      <c r="N21" s="5"/>
      <c r="P21" s="228" t="s">
        <v>116</v>
      </c>
      <c r="Q21" s="229"/>
      <c r="R21" s="27"/>
      <c r="T21" s="5"/>
      <c r="V21" s="228" t="s">
        <v>116</v>
      </c>
      <c r="W21" s="229"/>
      <c r="X21" s="27"/>
      <c r="Z21" s="5"/>
      <c r="AB21" s="228" t="s">
        <v>116</v>
      </c>
      <c r="AC21" s="229"/>
      <c r="AD21" s="27"/>
    </row>
    <row r="22" spans="1:30" ht="24" x14ac:dyDescent="0.3">
      <c r="N22" s="5"/>
      <c r="O22" s="31" t="s">
        <v>123</v>
      </c>
      <c r="P22" s="199" t="s">
        <v>119</v>
      </c>
      <c r="Q22" s="199" t="s">
        <v>121</v>
      </c>
      <c r="R22" s="27"/>
      <c r="T22" s="5"/>
      <c r="U22" s="31" t="s">
        <v>123</v>
      </c>
      <c r="V22" s="199" t="s">
        <v>119</v>
      </c>
      <c r="W22" s="199" t="s">
        <v>121</v>
      </c>
      <c r="X22" s="27"/>
      <c r="Z22" s="5"/>
      <c r="AA22" s="31" t="s">
        <v>123</v>
      </c>
      <c r="AB22" s="199" t="s">
        <v>119</v>
      </c>
      <c r="AC22" s="199" t="s">
        <v>121</v>
      </c>
      <c r="AD22" s="27"/>
    </row>
    <row r="23" spans="1:30" x14ac:dyDescent="0.3">
      <c r="N23" s="221" t="s">
        <v>111</v>
      </c>
      <c r="O23" s="201" t="s">
        <v>119</v>
      </c>
      <c r="P23" s="202">
        <f>SUM(P5:Q6)</f>
        <v>7</v>
      </c>
      <c r="Q23" s="202">
        <f>SUM(R5:R6)</f>
        <v>0</v>
      </c>
      <c r="R23" s="27"/>
      <c r="T23" s="221" t="s">
        <v>105</v>
      </c>
      <c r="U23" s="201" t="s">
        <v>119</v>
      </c>
      <c r="V23" s="202">
        <f>SUM(V5:W6)</f>
        <v>7</v>
      </c>
      <c r="W23" s="202">
        <f>SUM(X5:X6)</f>
        <v>0</v>
      </c>
      <c r="X23" s="27"/>
      <c r="Z23" s="221" t="s">
        <v>106</v>
      </c>
      <c r="AA23" s="201" t="s">
        <v>119</v>
      </c>
      <c r="AB23" s="202">
        <f>SUM(AB5:AC6)</f>
        <v>6</v>
      </c>
      <c r="AC23" s="202">
        <f>SUM(AD5:AD6)</f>
        <v>6</v>
      </c>
      <c r="AD23" s="27"/>
    </row>
    <row r="24" spans="1:30" x14ac:dyDescent="0.3">
      <c r="A24" s="5"/>
      <c r="N24" s="221"/>
      <c r="O24" s="201" t="s">
        <v>121</v>
      </c>
      <c r="P24" s="202">
        <f>SUM(P7:Q7)</f>
        <v>0</v>
      </c>
      <c r="Q24" s="202">
        <f>R7</f>
        <v>8</v>
      </c>
      <c r="R24" s="27"/>
      <c r="T24" s="221"/>
      <c r="U24" s="201" t="s">
        <v>121</v>
      </c>
      <c r="V24" s="202">
        <f>SUM(V7:W7)</f>
        <v>0</v>
      </c>
      <c r="W24" s="202">
        <f>X7</f>
        <v>8</v>
      </c>
      <c r="X24" s="27"/>
      <c r="Z24" s="221"/>
      <c r="AA24" s="201" t="s">
        <v>121</v>
      </c>
      <c r="AB24" s="202">
        <f>SUM(AB7:AC7)</f>
        <v>1</v>
      </c>
      <c r="AC24" s="202">
        <f>AD7</f>
        <v>2</v>
      </c>
      <c r="AD24" s="27"/>
    </row>
    <row r="25" spans="1:30" x14ac:dyDescent="0.3">
      <c r="A25" s="5"/>
      <c r="N25" s="5"/>
      <c r="R25" s="27"/>
      <c r="T25" s="5"/>
      <c r="X25" s="27"/>
      <c r="Z25" s="5"/>
      <c r="AD25" s="27"/>
    </row>
    <row r="26" spans="1:30" ht="36" x14ac:dyDescent="0.3">
      <c r="A26" s="5"/>
      <c r="N26" s="205" t="s">
        <v>0</v>
      </c>
      <c r="O26" s="206" t="s">
        <v>61</v>
      </c>
      <c r="P26" s="199" t="s">
        <v>124</v>
      </c>
      <c r="Q26" s="199" t="s">
        <v>125</v>
      </c>
      <c r="R26" s="27"/>
      <c r="T26" s="205" t="s">
        <v>23</v>
      </c>
      <c r="U26" s="206" t="s">
        <v>61</v>
      </c>
      <c r="V26" s="199" t="s">
        <v>124</v>
      </c>
      <c r="W26" s="199" t="s">
        <v>125</v>
      </c>
      <c r="X26" s="27"/>
      <c r="Z26" s="205" t="s">
        <v>9</v>
      </c>
      <c r="AA26" s="206" t="s">
        <v>61</v>
      </c>
      <c r="AB26" s="199" t="s">
        <v>124</v>
      </c>
      <c r="AC26" s="199" t="s">
        <v>125</v>
      </c>
      <c r="AD26" s="27"/>
    </row>
    <row r="27" spans="1:30" x14ac:dyDescent="0.3">
      <c r="A27" s="5"/>
      <c r="N27" s="207" t="s">
        <v>126</v>
      </c>
      <c r="O27" s="208">
        <f>Q24/SUM(Q23:Q24)</f>
        <v>1</v>
      </c>
      <c r="P27" s="208">
        <f>((2*Q24+NORMSINV(0.975)^2)-(NORMSINV(0.975)*SQRT(NORMSINV(0.975)^2+(4*Q23*Q24)/(Q23+Q24))))/(2*(Q23+Q24+NORMSINV(0.975)^2))</f>
        <v>0.67559243511611977</v>
      </c>
      <c r="Q27" s="208">
        <f>((2*Q24+NORMSINV(0.975)^2)+(NORMSINV(0.975)*SQRT(NORMSINV(0.975)^2+(4*Q23*Q24)/(Q23+Q24))))/(2*(Q23+Q24+NORMSINV(0.975)^2))</f>
        <v>0.99999999999999989</v>
      </c>
      <c r="R27" s="27"/>
      <c r="T27" s="207" t="s">
        <v>126</v>
      </c>
      <c r="U27" s="208">
        <f>W24/SUM(W23:W24)</f>
        <v>1</v>
      </c>
      <c r="V27" s="208">
        <f>((2*W24+NORMSINV(0.975)^2)-(NORMSINV(0.975)*SQRT(NORMSINV(0.975)^2+(4*W23*W24)/(W23+W24))))/(2*(W23+W24+NORMSINV(0.975)^2))</f>
        <v>0.67559243511611977</v>
      </c>
      <c r="W27" s="208">
        <f>((2*W24+NORMSINV(0.975)^2)+(NORMSINV(0.975)*SQRT(NORMSINV(0.975)^2+(4*W23*W24)/(W23+W24))))/(2*(W23+W24+NORMSINV(0.975)^2))</f>
        <v>0.99999999999999989</v>
      </c>
      <c r="X27" s="27"/>
      <c r="Z27" s="207" t="s">
        <v>126</v>
      </c>
      <c r="AA27" s="208">
        <f>AC24/SUM(AC23:AC24)</f>
        <v>0.25</v>
      </c>
      <c r="AB27" s="208">
        <f>((2*AC24+NORMSINV(0.975)^2)-(NORMSINV(0.975)*SQRT(NORMSINV(0.975)^2+(4*AC23*AC24)/(AC23+AC24))))/(2*(AC23+AC24+NORMSINV(0.975)^2))</f>
        <v>7.1479212752109028E-2</v>
      </c>
      <c r="AC27" s="208">
        <f>((2*AC24+NORMSINV(0.975)^2)+(NORMSINV(0.975)*SQRT(NORMSINV(0.975)^2+(4*AC23*AC24)/(AC23+AC24))))/(2*(AC23+AC24+NORMSINV(0.975)^2))</f>
        <v>0.590724569689831</v>
      </c>
      <c r="AD27" s="27"/>
    </row>
    <row r="28" spans="1:30" x14ac:dyDescent="0.3">
      <c r="A28" s="5"/>
      <c r="N28" s="207" t="s">
        <v>127</v>
      </c>
      <c r="O28" s="208">
        <f>P23/SUM(P23:P24)</f>
        <v>1</v>
      </c>
      <c r="P28" s="208">
        <f>((2*P23+NORMSINV(0.975)^2)-(NORMSINV(0.975)*SQRT(NORMSINV(0.975)^2+(4*P23*P24)/(P23+P24))))/(2*(P23+P24+NORMSINV(0.975)^2))</f>
        <v>0.64566956493331262</v>
      </c>
      <c r="Q28" s="208">
        <f>((2*P23+NORMSINV(0.975)^2)+(NORMSINV(0.975)*SQRT(NORMSINV(0.975)^2+(4*P23*P24)/(P23+P24))))/(2*(P23+P24+NORMSINV(0.975)^2))</f>
        <v>0.99999999999999989</v>
      </c>
      <c r="R28" s="27"/>
      <c r="T28" s="207" t="s">
        <v>127</v>
      </c>
      <c r="U28" s="208">
        <f>V23/SUM(V23:V24)</f>
        <v>1</v>
      </c>
      <c r="V28" s="208">
        <f>((2*V23+NORMSINV(0.975)^2)-(NORMSINV(0.975)*SQRT(NORMSINV(0.975)^2+(4*V23*V24)/(V23+V24))))/(2*(V23+V24+NORMSINV(0.975)^2))</f>
        <v>0.64566956493331262</v>
      </c>
      <c r="W28" s="208">
        <f>((2*V23+NORMSINV(0.975)^2)+(NORMSINV(0.975)*SQRT(NORMSINV(0.975)^2+(4*V23*V24)/(V23+V24))))/(2*(V23+V24+NORMSINV(0.975)^2))</f>
        <v>0.99999999999999989</v>
      </c>
      <c r="X28" s="27"/>
      <c r="Z28" s="207" t="s">
        <v>127</v>
      </c>
      <c r="AA28" s="208">
        <f>AB23/SUM(AB23:AB24)</f>
        <v>0.8571428571428571</v>
      </c>
      <c r="AB28" s="208">
        <f>((2*AB23+NORMSINV(0.975)^2)-(NORMSINV(0.975)*SQRT(NORMSINV(0.975)^2+(4*AB23*AB24)/(AB23+AB24))))/(2*(AB23+AB24+NORMSINV(0.975)^2))</f>
        <v>0.48687217072568117</v>
      </c>
      <c r="AC28" s="208">
        <f>((2*AB23+NORMSINV(0.975)^2)+(NORMSINV(0.975)*SQRT(NORMSINV(0.975)^2+(4*AB23*AB24)/(AB23+AB24))))/(2*(AB23+AB24+NORMSINV(0.975)^2))</f>
        <v>0.97432037565525653</v>
      </c>
      <c r="AD28" s="27"/>
    </row>
    <row r="29" spans="1:30" ht="15" thickBot="1" x14ac:dyDescent="0.35">
      <c r="A29" s="5"/>
      <c r="N29" s="209" t="s">
        <v>128</v>
      </c>
      <c r="O29" s="210">
        <f>SUM(P23,Q24)/SUM(P23:Q24)</f>
        <v>1</v>
      </c>
      <c r="P29" s="210">
        <f>((2*(P23+Q24)+NORMSINV(0.975)^2)-(NORMSINV(0.975)*SQRT(NORMSINV(0.975)^2+(4*(P23+Q24)*(Q23+P24))/SUM(P23:Q24))))/(2*(SUM(P23:Q24)+NORMSINV(0.975)^2))</f>
        <v>0.79611669896415149</v>
      </c>
      <c r="Q29" s="210">
        <f>((2*(P23+Q24)+NORMSINV(0.975)^2)+(NORMSINV(0.975)*SQRT(NORMSINV(0.975)^2+(4*(P23+Q24)*(Q23+P24))/SUM(P23:Q24))))/(2*(SUM(P23:Q24)+NORMSINV(0.975)^2))</f>
        <v>1</v>
      </c>
      <c r="R29" s="28"/>
      <c r="T29" s="209" t="s">
        <v>128</v>
      </c>
      <c r="U29" s="210">
        <f>SUM(V23,W24)/SUM(V23:W24)</f>
        <v>1</v>
      </c>
      <c r="V29" s="210">
        <f>((2*(V23+W24)+NORMSINV(0.975)^2)-(NORMSINV(0.975)*SQRT(NORMSINV(0.975)^2+(4*(V23+W24)*(W23+V24))/SUM(V23:W24))))/(2*(SUM(V23:W24)+NORMSINV(0.975)^2))</f>
        <v>0.79611669896415149</v>
      </c>
      <c r="W29" s="210">
        <f>((2*(V23+W24)+NORMSINV(0.975)^2)+(NORMSINV(0.975)*SQRT(NORMSINV(0.975)^2+(4*(V23+W24)*(W23+V24))/SUM(V23:W24))))/(2*(SUM(V23:W24)+NORMSINV(0.975)^2))</f>
        <v>1</v>
      </c>
      <c r="X29" s="28"/>
      <c r="Z29" s="209" t="s">
        <v>128</v>
      </c>
      <c r="AA29" s="210">
        <f>SUM(AB23,AC24)/SUM(AB23:AC24)</f>
        <v>0.53333333333333333</v>
      </c>
      <c r="AB29" s="210">
        <f>((2*(AB23+AC24)+NORMSINV(0.975)^2)-(NORMSINV(0.975)*SQRT(NORMSINV(0.975)^2+(4*(AB23+AC24)*(AC23+AB24))/SUM(AB23:AC24))))/(2*(SUM(AB23:AC24)+NORMSINV(0.975)^2))</f>
        <v>0.30116980025498397</v>
      </c>
      <c r="AC29" s="210">
        <f>((2*(AB23+AC24)+NORMSINV(0.975)^2)+(NORMSINV(0.975)*SQRT(NORMSINV(0.975)^2+(4*(AB23+AC24)*(AC23+AB24))/SUM(AB23:AC24))))/(2*(SUM(AB23:AC24)+NORMSINV(0.975)^2))</f>
        <v>0.7519046463426261</v>
      </c>
      <c r="AD29" s="28"/>
    </row>
    <row r="30" spans="1:30" x14ac:dyDescent="0.3">
      <c r="A30" s="5"/>
    </row>
    <row r="31" spans="1:30" ht="15" thickBot="1" x14ac:dyDescent="0.35">
      <c r="A31" s="5"/>
      <c r="N31" s="14" t="s">
        <v>130</v>
      </c>
      <c r="T31" s="14" t="s">
        <v>130</v>
      </c>
      <c r="Z31" s="14" t="s">
        <v>130</v>
      </c>
    </row>
    <row r="32" spans="1:30" x14ac:dyDescent="0.3">
      <c r="A32" s="5"/>
      <c r="N32" s="3"/>
      <c r="O32" s="4"/>
      <c r="P32" s="231" t="s">
        <v>105</v>
      </c>
      <c r="Q32" s="231"/>
      <c r="R32" s="232"/>
      <c r="T32" s="3"/>
      <c r="U32" s="4"/>
      <c r="V32" s="231" t="s">
        <v>105</v>
      </c>
      <c r="W32" s="231"/>
      <c r="X32" s="232"/>
      <c r="Z32" s="3"/>
      <c r="AA32" s="4"/>
      <c r="AB32" s="231" t="s">
        <v>105</v>
      </c>
      <c r="AC32" s="231"/>
      <c r="AD32" s="232"/>
    </row>
    <row r="33" spans="1:30" ht="24" x14ac:dyDescent="0.3">
      <c r="A33" s="5"/>
      <c r="N33" s="5"/>
      <c r="O33" s="31" t="s">
        <v>118</v>
      </c>
      <c r="P33" s="199" t="s">
        <v>119</v>
      </c>
      <c r="Q33" s="199" t="s">
        <v>120</v>
      </c>
      <c r="R33" s="200" t="s">
        <v>121</v>
      </c>
      <c r="T33" s="5"/>
      <c r="U33" s="31" t="s">
        <v>118</v>
      </c>
      <c r="V33" s="199" t="s">
        <v>119</v>
      </c>
      <c r="W33" s="199" t="s">
        <v>120</v>
      </c>
      <c r="X33" s="200" t="s">
        <v>121</v>
      </c>
      <c r="Z33" s="5"/>
      <c r="AA33" s="31" t="s">
        <v>118</v>
      </c>
      <c r="AB33" s="199" t="s">
        <v>119</v>
      </c>
      <c r="AC33" s="199" t="s">
        <v>120</v>
      </c>
      <c r="AD33" s="200" t="s">
        <v>121</v>
      </c>
    </row>
    <row r="34" spans="1:30" x14ac:dyDescent="0.3">
      <c r="A34" s="5"/>
      <c r="N34" s="221" t="s">
        <v>111</v>
      </c>
      <c r="O34" s="201" t="s">
        <v>119</v>
      </c>
      <c r="P34" s="202">
        <f>COUNTIFS(C2:C21,"ON",F2:F21,"ON")</f>
        <v>6</v>
      </c>
      <c r="Q34" s="202">
        <f>COUNTIFS(C2:C21,"ON",F2:F21,"NE")</f>
        <v>0</v>
      </c>
      <c r="R34" s="203">
        <f>COUNTIFS(C2:C21,"ON",F2:F21,"OFF")</f>
        <v>0</v>
      </c>
      <c r="T34" s="221" t="s">
        <v>114</v>
      </c>
      <c r="U34" s="201" t="s">
        <v>119</v>
      </c>
      <c r="V34" s="202">
        <f>COUNTIFS(I2:I21,"ON",F2:F21,"ON")</f>
        <v>6</v>
      </c>
      <c r="W34" s="202">
        <f>COUNTIFS(I2:I21,"ON",F2:F21,"NE")</f>
        <v>0</v>
      </c>
      <c r="X34" s="203">
        <f>COUNTIFS(I2:I21,"ON",F2:F21,"OFF")</f>
        <v>0</v>
      </c>
      <c r="Z34" s="221" t="s">
        <v>106</v>
      </c>
      <c r="AA34" s="201" t="s">
        <v>119</v>
      </c>
      <c r="AB34" s="202">
        <f>COUNTIFS(L2:L21,"ON",F2:F21,"ON")</f>
        <v>5</v>
      </c>
      <c r="AC34" s="202">
        <f>COUNTIFS(L2:L21,"ON",F2:F21,"NE")</f>
        <v>0</v>
      </c>
      <c r="AD34" s="203">
        <f>COUNTIFS(L2:L21,"ON",F2:F21,"OFF")</f>
        <v>1</v>
      </c>
    </row>
    <row r="35" spans="1:30" x14ac:dyDescent="0.3">
      <c r="A35" s="5"/>
      <c r="N35" s="221"/>
      <c r="O35" s="201" t="s">
        <v>120</v>
      </c>
      <c r="P35" s="202">
        <f>COUNTIFS(C2:C21,"NE",F2:F21,"ON")</f>
        <v>0</v>
      </c>
      <c r="Q35" s="202">
        <f>COUNTIFS(C2:C21,"NE",F2:F21,"NE")</f>
        <v>1</v>
      </c>
      <c r="R35" s="203">
        <f>COUNTIFS(C2:C21,"NE",F2:F21,"OFF")</f>
        <v>0</v>
      </c>
      <c r="T35" s="221"/>
      <c r="U35" s="201" t="s">
        <v>120</v>
      </c>
      <c r="V35" s="202">
        <f>COUNTIFS(I2:I21,"NE",F2:F21,"ON")</f>
        <v>0</v>
      </c>
      <c r="W35" s="202">
        <f>COUNTIFS(I2:I21,"NE",F2:F21,"NE")</f>
        <v>1</v>
      </c>
      <c r="X35" s="203">
        <f>COUNTIFS(I2:I21,"NE",F2:F21,"OFF")</f>
        <v>0</v>
      </c>
      <c r="Z35" s="221"/>
      <c r="AA35" s="201" t="s">
        <v>120</v>
      </c>
      <c r="AB35" s="202">
        <f>COUNTIFS(L2:L21,"NE",F2:F21,"ON")</f>
        <v>1</v>
      </c>
      <c r="AC35" s="202">
        <f>COUNTIFS(L2:L21,"NE",F2:F21,"NE")</f>
        <v>0</v>
      </c>
      <c r="AD35" s="203">
        <f>COUNTIFS(L2:L21,"NE",F2:F21,"OFF")</f>
        <v>5</v>
      </c>
    </row>
    <row r="36" spans="1:30" x14ac:dyDescent="0.3">
      <c r="A36" s="5"/>
      <c r="N36" s="221"/>
      <c r="O36" s="201" t="s">
        <v>121</v>
      </c>
      <c r="P36" s="202">
        <f>COUNTIFS(C2:C21,"OFF",F2:F21,"ON")</f>
        <v>0</v>
      </c>
      <c r="Q36" s="202">
        <f>COUNTIFS(C2:C21,"OFF",F2:F21,"NE")</f>
        <v>0</v>
      </c>
      <c r="R36" s="203">
        <f>COUNTIFS(C2:C21,"OFF",F2:F21,"OFF")</f>
        <v>8</v>
      </c>
      <c r="T36" s="221"/>
      <c r="U36" s="201" t="s">
        <v>121</v>
      </c>
      <c r="V36" s="202">
        <f>COUNTIFS(I2:I21,"OFF",F2:F21,"ON")</f>
        <v>0</v>
      </c>
      <c r="W36" s="202">
        <f>COUNTIFS(I2:I21,"OFF",F2:F21,"NE")</f>
        <v>0</v>
      </c>
      <c r="X36" s="203">
        <f>COUNTIFS(I2:I21,"OFF",F2:F21,"OFF")</f>
        <v>8</v>
      </c>
      <c r="Z36" s="221"/>
      <c r="AA36" s="201" t="s">
        <v>121</v>
      </c>
      <c r="AB36" s="202">
        <f>COUNTIFS(L2:L21,"OFF",F2:F21,"ON")</f>
        <v>0</v>
      </c>
      <c r="AC36" s="202">
        <f>COUNTIFS(L2:L21,"OFF",F2:F21,"NE")</f>
        <v>1</v>
      </c>
      <c r="AD36" s="203">
        <f>COUNTIFS(L2:L21,"OFF",F2:F21,"OFF")</f>
        <v>2</v>
      </c>
    </row>
    <row r="37" spans="1:30" x14ac:dyDescent="0.3">
      <c r="A37" s="5"/>
      <c r="N37" s="5"/>
      <c r="R37" s="27"/>
      <c r="T37" s="5"/>
      <c r="X37" s="27"/>
      <c r="Z37" s="5"/>
      <c r="AD37" s="27"/>
    </row>
    <row r="38" spans="1:30" x14ac:dyDescent="0.3">
      <c r="A38" s="5"/>
      <c r="N38" s="222" t="s">
        <v>122</v>
      </c>
      <c r="O38" s="223"/>
      <c r="P38" s="223"/>
      <c r="Q38" s="223"/>
      <c r="R38" s="224"/>
      <c r="T38" s="204" t="s">
        <v>122</v>
      </c>
      <c r="X38" s="27"/>
      <c r="Z38" s="204" t="s">
        <v>122</v>
      </c>
      <c r="AD38" s="27"/>
    </row>
    <row r="39" spans="1:30" x14ac:dyDescent="0.3">
      <c r="N39" s="5"/>
      <c r="P39" s="230" t="s">
        <v>105</v>
      </c>
      <c r="Q39" s="230"/>
      <c r="R39" s="27"/>
      <c r="T39" s="5"/>
      <c r="V39" s="230" t="s">
        <v>105</v>
      </c>
      <c r="W39" s="230"/>
      <c r="X39" s="27"/>
      <c r="Z39" s="5"/>
      <c r="AB39" s="230" t="s">
        <v>105</v>
      </c>
      <c r="AC39" s="230"/>
      <c r="AD39" s="27"/>
    </row>
    <row r="40" spans="1:30" ht="24" x14ac:dyDescent="0.3">
      <c r="N40" s="5"/>
      <c r="O40" s="31" t="s">
        <v>123</v>
      </c>
      <c r="P40" s="199" t="s">
        <v>119</v>
      </c>
      <c r="Q40" s="199" t="s">
        <v>121</v>
      </c>
      <c r="R40" s="27"/>
      <c r="T40" s="5"/>
      <c r="U40" s="31" t="s">
        <v>123</v>
      </c>
      <c r="V40" s="199" t="s">
        <v>119</v>
      </c>
      <c r="W40" s="199" t="s">
        <v>121</v>
      </c>
      <c r="X40" s="27"/>
      <c r="Z40" s="5"/>
      <c r="AA40" s="31" t="s">
        <v>123</v>
      </c>
      <c r="AB40" s="199" t="s">
        <v>119</v>
      </c>
      <c r="AC40" s="199" t="s">
        <v>121</v>
      </c>
      <c r="AD40" s="27"/>
    </row>
    <row r="41" spans="1:30" x14ac:dyDescent="0.3">
      <c r="N41" s="221" t="s">
        <v>111</v>
      </c>
      <c r="O41" s="201" t="s">
        <v>119</v>
      </c>
      <c r="P41" s="202">
        <f>P34</f>
        <v>6</v>
      </c>
      <c r="Q41" s="202">
        <f>SUM(Q34:R34)</f>
        <v>0</v>
      </c>
      <c r="R41" s="72"/>
      <c r="T41" s="221" t="s">
        <v>114</v>
      </c>
      <c r="U41" s="201" t="s">
        <v>119</v>
      </c>
      <c r="V41" s="202">
        <f>V34</f>
        <v>6</v>
      </c>
      <c r="W41" s="202">
        <f>SUM(W34:X34)</f>
        <v>0</v>
      </c>
      <c r="X41" s="72"/>
      <c r="Z41" s="221" t="s">
        <v>106</v>
      </c>
      <c r="AA41" s="201" t="s">
        <v>119</v>
      </c>
      <c r="AB41" s="202">
        <f>AB34</f>
        <v>5</v>
      </c>
      <c r="AC41" s="202">
        <f>SUM(AC34:AD34)</f>
        <v>1</v>
      </c>
      <c r="AD41" s="72"/>
    </row>
    <row r="42" spans="1:30" x14ac:dyDescent="0.3">
      <c r="N42" s="221"/>
      <c r="O42" s="201" t="s">
        <v>121</v>
      </c>
      <c r="P42" s="202">
        <f>SUM(P35:P36)</f>
        <v>0</v>
      </c>
      <c r="Q42" s="202">
        <f>SUM(Q35:R36)</f>
        <v>9</v>
      </c>
      <c r="R42" s="72"/>
      <c r="T42" s="221"/>
      <c r="U42" s="201" t="s">
        <v>121</v>
      </c>
      <c r="V42" s="202">
        <f>SUM(V35:V36)</f>
        <v>0</v>
      </c>
      <c r="W42" s="202">
        <f>SUM(W35:X36)</f>
        <v>9</v>
      </c>
      <c r="X42" s="72"/>
      <c r="Z42" s="221"/>
      <c r="AA42" s="201" t="s">
        <v>121</v>
      </c>
      <c r="AB42" s="202">
        <f>SUM(AB35:AB36)</f>
        <v>1</v>
      </c>
      <c r="AC42" s="202">
        <f>SUM(AC35:AD36)</f>
        <v>8</v>
      </c>
      <c r="AD42" s="72"/>
    </row>
    <row r="43" spans="1:30" x14ac:dyDescent="0.3">
      <c r="N43" s="5"/>
      <c r="R43" s="27"/>
      <c r="T43" s="5"/>
      <c r="X43" s="27"/>
      <c r="Z43" s="5"/>
      <c r="AD43" s="27"/>
    </row>
    <row r="44" spans="1:30" ht="36" x14ac:dyDescent="0.3">
      <c r="N44" s="205" t="s">
        <v>3</v>
      </c>
      <c r="O44" s="206" t="s">
        <v>61</v>
      </c>
      <c r="P44" s="199" t="s">
        <v>124</v>
      </c>
      <c r="Q44" s="199" t="s">
        <v>125</v>
      </c>
      <c r="R44" s="27"/>
      <c r="T44" s="205" t="s">
        <v>7</v>
      </c>
      <c r="U44" s="206" t="s">
        <v>61</v>
      </c>
      <c r="V44" s="199" t="s">
        <v>124</v>
      </c>
      <c r="W44" s="199" t="s">
        <v>125</v>
      </c>
      <c r="X44" s="27"/>
      <c r="Z44" s="205" t="s">
        <v>8</v>
      </c>
      <c r="AA44" s="206" t="s">
        <v>61</v>
      </c>
      <c r="AB44" s="199" t="s">
        <v>124</v>
      </c>
      <c r="AC44" s="199" t="s">
        <v>125</v>
      </c>
      <c r="AD44" s="27"/>
    </row>
    <row r="45" spans="1:30" x14ac:dyDescent="0.3">
      <c r="N45" s="207" t="s">
        <v>126</v>
      </c>
      <c r="O45" s="208">
        <f>Q42/SUM(Q41:Q42)</f>
        <v>1</v>
      </c>
      <c r="P45" s="208">
        <f>((2*Q42+NORMSINV(0.975)^2)-(NORMSINV(0.975)*SQRT(NORMSINV(0.975)^2+(4*Q41*Q42)/(Q41+Q42))))/(2*(Q41+Q42+NORMSINV(0.975)^2))</f>
        <v>0.70085495158045608</v>
      </c>
      <c r="Q45" s="208">
        <f>((2*Q42+NORMSINV(0.975)^2)+(NORMSINV(0.975)*SQRT(NORMSINV(0.975)^2+(4*Q41*Q42)/(Q41+Q42))))/(2*(Q41+Q42+NORMSINV(0.975)^2))</f>
        <v>0.99999999999999989</v>
      </c>
      <c r="R45" s="27"/>
      <c r="T45" s="207" t="s">
        <v>126</v>
      </c>
      <c r="U45" s="208">
        <f>W42/SUM(W41:W42)</f>
        <v>1</v>
      </c>
      <c r="V45" s="208">
        <f>((2*W42+NORMSINV(0.975)^2)-(NORMSINV(0.975)*SQRT(NORMSINV(0.975)^2+(4*W41*W42)/(W41+W42))))/(2*(W41+W42+NORMSINV(0.975)^2))</f>
        <v>0.70085495158045608</v>
      </c>
      <c r="W45" s="208">
        <f>((2*W42+NORMSINV(0.975)^2)+(NORMSINV(0.975)*SQRT(NORMSINV(0.975)^2+(4*W41*W42)/(W41+W42))))/(2*(W41+W42+NORMSINV(0.975)^2))</f>
        <v>0.99999999999999989</v>
      </c>
      <c r="X45" s="27"/>
      <c r="Z45" s="207" t="s">
        <v>126</v>
      </c>
      <c r="AA45" s="208">
        <f>AC42/SUM(AC41:AC42)</f>
        <v>0.88888888888888884</v>
      </c>
      <c r="AB45" s="208">
        <f>((2*AC42+NORMSINV(0.975)^2)-(NORMSINV(0.975)*SQRT(NORMSINV(0.975)^2+(4*AC41*AC42)/(AC41+AC42))))/(2*(AC41+AC42+NORMSINV(0.975)^2))</f>
        <v>0.56500029442334398</v>
      </c>
      <c r="AC45" s="208">
        <f>((2*AC42+NORMSINV(0.975)^2)+(NORMSINV(0.975)*SQRT(NORMSINV(0.975)^2+(4*AC41*AC42)/(AC41+AC42))))/(2*(AC41+AC42+NORMSINV(0.975)^2))</f>
        <v>0.98010911236145504</v>
      </c>
      <c r="AD45" s="27"/>
    </row>
    <row r="46" spans="1:30" x14ac:dyDescent="0.3">
      <c r="N46" s="207" t="s">
        <v>127</v>
      </c>
      <c r="O46" s="208">
        <f>P41/SUM(P41:P42)</f>
        <v>1</v>
      </c>
      <c r="P46" s="208">
        <f>((2*P41+NORMSINV(0.975)^2)-(NORMSINV(0.975)*SQRT(NORMSINV(0.975)^2+(4*P41*P42)/(P41+P42))))/(2*(P41+P42+NORMSINV(0.975)^2))</f>
        <v>0.60966571209783471</v>
      </c>
      <c r="Q46" s="208">
        <f>((2*P41+NORMSINV(0.975)^2)+(NORMSINV(0.975)*SQRT(NORMSINV(0.975)^2+(4*P41*P42)/(P41+P42))))/(2*(P41+P42+NORMSINV(0.975)^2))</f>
        <v>1</v>
      </c>
      <c r="R46" s="27"/>
      <c r="T46" s="207" t="s">
        <v>127</v>
      </c>
      <c r="U46" s="208">
        <f>V41/SUM(V41:V42)</f>
        <v>1</v>
      </c>
      <c r="V46" s="208">
        <f>((2*V41+NORMSINV(0.975)^2)-(NORMSINV(0.975)*SQRT(NORMSINV(0.975)^2+(4*V41*V42)/(V41+V42))))/(2*(V41+V42+NORMSINV(0.975)^2))</f>
        <v>0.60966571209783471</v>
      </c>
      <c r="W46" s="208">
        <f>((2*V41+NORMSINV(0.975)^2)+(NORMSINV(0.975)*SQRT(NORMSINV(0.975)^2+(4*V41*V42)/(V41+V42))))/(2*(V41+V42+NORMSINV(0.975)^2))</f>
        <v>1</v>
      </c>
      <c r="X46" s="27"/>
      <c r="Z46" s="207" t="s">
        <v>127</v>
      </c>
      <c r="AA46" s="208">
        <f>AB41/SUM(AB41:AB42)</f>
        <v>0.83333333333333337</v>
      </c>
      <c r="AB46" s="208">
        <f>((2*AB41+NORMSINV(0.975)^2)-(NORMSINV(0.975)*SQRT(NORMSINV(0.975)^2+(4*AB41*AB42)/(AB41+AB42))))/(2*(AB41+AB42+NORMSINV(0.975)^2))</f>
        <v>0.43649717781352981</v>
      </c>
      <c r="AC46" s="208">
        <f>((2*AB41+NORMSINV(0.975)^2)+(NORMSINV(0.975)*SQRT(NORMSINV(0.975)^2+(4*AB41*AB42)/(AB41+AB42))))/(2*(AB41+AB42+NORMSINV(0.975)^2))</f>
        <v>0.96994663025169348</v>
      </c>
      <c r="AD46" s="27"/>
    </row>
    <row r="47" spans="1:30" x14ac:dyDescent="0.3">
      <c r="N47" s="207" t="s">
        <v>128</v>
      </c>
      <c r="O47" s="208">
        <f>SUM(P41,Q42)/SUM(P41:Q42)</f>
        <v>1</v>
      </c>
      <c r="P47" s="208">
        <f>((2*(P41+Q42)+NORMSINV(0.975)^2)-(NORMSINV(0.975)*SQRT(NORMSINV(0.975)^2+(4*(P41+Q42)*(Q41+P42))/SUM(P41:Q42))))/(2*(SUM(P41:Q42)+NORMSINV(0.975)^2))</f>
        <v>0.79611669896415149</v>
      </c>
      <c r="Q47" s="208">
        <f>((2*(P41+Q42)+NORMSINV(0.975)^2)+(NORMSINV(0.975)*SQRT(NORMSINV(0.975)^2+(4*(P41+Q42)*(Q41+P42))/SUM(P41:Q42))))/(2*(SUM(P41:Q42)+NORMSINV(0.975)^2))</f>
        <v>1</v>
      </c>
      <c r="R47" s="27"/>
      <c r="T47" s="207" t="s">
        <v>128</v>
      </c>
      <c r="U47" s="208">
        <f>SUM(V41,W42)/SUM(V41:W42)</f>
        <v>1</v>
      </c>
      <c r="V47" s="208">
        <f>((2*(V41+W42)+NORMSINV(0.975)^2)-(NORMSINV(0.975)*SQRT(NORMSINV(0.975)^2+(4*(V41+W42)*(W41+V42))/SUM(V41:W42))))/(2*(SUM(V41:W42)+NORMSINV(0.975)^2))</f>
        <v>0.79611669896415149</v>
      </c>
      <c r="W47" s="208">
        <f>((2*(V41+W42)+NORMSINV(0.975)^2)+(NORMSINV(0.975)*SQRT(NORMSINV(0.975)^2+(4*(V41+W42)*(W41+V42))/SUM(V41:W42))))/(2*(SUM(V41:W42)+NORMSINV(0.975)^2))</f>
        <v>1</v>
      </c>
      <c r="X47" s="27"/>
      <c r="Z47" s="207" t="s">
        <v>128</v>
      </c>
      <c r="AA47" s="208">
        <f>SUM(AB41,AC42)/SUM(AB41:AC42)</f>
        <v>0.8666666666666667</v>
      </c>
      <c r="AB47" s="208">
        <f>((2*(AB41+AC42)+NORMSINV(0.975)^2)-(NORMSINV(0.975)*SQRT(NORMSINV(0.975)^2+(4*(AB41+AC42)*(AC41+AB42))/SUM(AB41:AC42))))/(2*(SUM(AB41:AC42)+NORMSINV(0.975)^2))</f>
        <v>0.62118017167677642</v>
      </c>
      <c r="AC47" s="208">
        <f>((2*(AB41+AC42)+NORMSINV(0.975)^2)+(NORMSINV(0.975)*SQRT(NORMSINV(0.975)^2+(4*(AB41+AC42)*(AC41+AB42))/SUM(AB41:AC42))))/(2*(SUM(AB41:AC42)+NORMSINV(0.975)^2))</f>
        <v>0.96263874089693469</v>
      </c>
      <c r="AD47" s="27"/>
    </row>
    <row r="48" spans="1:30" x14ac:dyDescent="0.3">
      <c r="N48" s="5"/>
      <c r="R48" s="27"/>
      <c r="T48" s="5"/>
      <c r="X48" s="27"/>
      <c r="Z48" s="5"/>
      <c r="AD48" s="27"/>
    </row>
    <row r="49" spans="14:30" ht="28.2" customHeight="1" x14ac:dyDescent="0.3">
      <c r="N49" s="222" t="s">
        <v>129</v>
      </c>
      <c r="O49" s="223"/>
      <c r="P49" s="223"/>
      <c r="Q49" s="223"/>
      <c r="R49" s="224"/>
      <c r="T49" s="225" t="s">
        <v>129</v>
      </c>
      <c r="U49" s="226"/>
      <c r="V49" s="226"/>
      <c r="W49" s="226"/>
      <c r="X49" s="227"/>
      <c r="Z49" s="225" t="s">
        <v>129</v>
      </c>
      <c r="AA49" s="226"/>
      <c r="AB49" s="226"/>
      <c r="AC49" s="226"/>
      <c r="AD49" s="227"/>
    </row>
    <row r="50" spans="14:30" x14ac:dyDescent="0.3">
      <c r="N50" s="5"/>
      <c r="P50" s="228" t="s">
        <v>105</v>
      </c>
      <c r="Q50" s="229"/>
      <c r="R50" s="27"/>
      <c r="T50" s="5"/>
      <c r="V50" s="228" t="s">
        <v>105</v>
      </c>
      <c r="W50" s="229"/>
      <c r="X50" s="27"/>
      <c r="Z50" s="5"/>
      <c r="AB50" s="228" t="s">
        <v>105</v>
      </c>
      <c r="AC50" s="229"/>
      <c r="AD50" s="27"/>
    </row>
    <row r="51" spans="14:30" ht="24" x14ac:dyDescent="0.3">
      <c r="N51" s="5"/>
      <c r="O51" s="31" t="s">
        <v>123</v>
      </c>
      <c r="P51" s="199" t="s">
        <v>119</v>
      </c>
      <c r="Q51" s="199" t="s">
        <v>121</v>
      </c>
      <c r="R51" s="27"/>
      <c r="T51" s="5"/>
      <c r="U51" s="31" t="s">
        <v>123</v>
      </c>
      <c r="V51" s="199" t="s">
        <v>119</v>
      </c>
      <c r="W51" s="199" t="s">
        <v>121</v>
      </c>
      <c r="X51" s="27"/>
      <c r="Z51" s="5"/>
      <c r="AA51" s="31" t="s">
        <v>123</v>
      </c>
      <c r="AB51" s="199" t="s">
        <v>119</v>
      </c>
      <c r="AC51" s="199" t="s">
        <v>121</v>
      </c>
      <c r="AD51" s="27"/>
    </row>
    <row r="52" spans="14:30" x14ac:dyDescent="0.3">
      <c r="N52" s="221" t="s">
        <v>111</v>
      </c>
      <c r="O52" s="201" t="s">
        <v>119</v>
      </c>
      <c r="P52" s="202">
        <f>SUM(P34:Q35)</f>
        <v>7</v>
      </c>
      <c r="Q52" s="202">
        <f>SUM(R34:R35)</f>
        <v>0</v>
      </c>
      <c r="R52" s="27"/>
      <c r="T52" s="221" t="s">
        <v>114</v>
      </c>
      <c r="U52" s="201" t="s">
        <v>119</v>
      </c>
      <c r="V52" s="202">
        <f>SUM(V34:W35)</f>
        <v>7</v>
      </c>
      <c r="W52" s="202">
        <f>SUM(X34:X35)</f>
        <v>0</v>
      </c>
      <c r="X52" s="27"/>
      <c r="Z52" s="221" t="s">
        <v>106</v>
      </c>
      <c r="AA52" s="201" t="s">
        <v>119</v>
      </c>
      <c r="AB52" s="202">
        <f>SUM(AB34:AC35)</f>
        <v>6</v>
      </c>
      <c r="AC52" s="202">
        <f>SUM(AD34:AD35)</f>
        <v>6</v>
      </c>
      <c r="AD52" s="27"/>
    </row>
    <row r="53" spans="14:30" x14ac:dyDescent="0.3">
      <c r="N53" s="221"/>
      <c r="O53" s="201" t="s">
        <v>121</v>
      </c>
      <c r="P53" s="202">
        <f>SUM(P36:Q36)</f>
        <v>0</v>
      </c>
      <c r="Q53" s="202">
        <f>R36</f>
        <v>8</v>
      </c>
      <c r="R53" s="27"/>
      <c r="T53" s="221"/>
      <c r="U53" s="201" t="s">
        <v>121</v>
      </c>
      <c r="V53" s="202">
        <f>SUM(V36:W36)</f>
        <v>0</v>
      </c>
      <c r="W53" s="202">
        <f>X36</f>
        <v>8</v>
      </c>
      <c r="X53" s="27"/>
      <c r="Z53" s="221"/>
      <c r="AA53" s="201" t="s">
        <v>121</v>
      </c>
      <c r="AB53" s="202">
        <f>SUM(AB36:AC36)</f>
        <v>1</v>
      </c>
      <c r="AC53" s="202">
        <f>AD36</f>
        <v>2</v>
      </c>
      <c r="AD53" s="27"/>
    </row>
    <row r="54" spans="14:30" x14ac:dyDescent="0.3">
      <c r="N54" s="5"/>
      <c r="R54" s="27"/>
      <c r="T54" s="5"/>
      <c r="X54" s="27"/>
      <c r="Z54" s="5"/>
      <c r="AD54" s="27"/>
    </row>
    <row r="55" spans="14:30" ht="36" x14ac:dyDescent="0.3">
      <c r="N55" s="205" t="s">
        <v>3</v>
      </c>
      <c r="O55" s="206" t="s">
        <v>61</v>
      </c>
      <c r="P55" s="199" t="s">
        <v>124</v>
      </c>
      <c r="Q55" s="199" t="s">
        <v>125</v>
      </c>
      <c r="R55" s="27"/>
      <c r="T55" s="205" t="s">
        <v>7</v>
      </c>
      <c r="U55" s="206" t="s">
        <v>61</v>
      </c>
      <c r="V55" s="199" t="s">
        <v>124</v>
      </c>
      <c r="W55" s="199" t="s">
        <v>125</v>
      </c>
      <c r="X55" s="27"/>
      <c r="Z55" s="205" t="s">
        <v>8</v>
      </c>
      <c r="AA55" s="206" t="s">
        <v>61</v>
      </c>
      <c r="AB55" s="199" t="s">
        <v>124</v>
      </c>
      <c r="AC55" s="199" t="s">
        <v>125</v>
      </c>
      <c r="AD55" s="27"/>
    </row>
    <row r="56" spans="14:30" x14ac:dyDescent="0.3">
      <c r="N56" s="207" t="s">
        <v>126</v>
      </c>
      <c r="O56" s="208">
        <f>Q53/SUM(Q52:Q53)</f>
        <v>1</v>
      </c>
      <c r="P56" s="208">
        <f>((2*Q53+NORMSINV(0.975)^2)-(NORMSINV(0.975)*SQRT(NORMSINV(0.975)^2+(4*Q52*Q53)/(Q52+Q53))))/(2*(Q52+Q53+NORMSINV(0.975)^2))</f>
        <v>0.67559243511611977</v>
      </c>
      <c r="Q56" s="208">
        <f>((2*Q53+NORMSINV(0.975)^2)+(NORMSINV(0.975)*SQRT(NORMSINV(0.975)^2+(4*Q52*Q53)/(Q52+Q53))))/(2*(Q52+Q53+NORMSINV(0.975)^2))</f>
        <v>0.99999999999999989</v>
      </c>
      <c r="R56" s="27"/>
      <c r="T56" s="207" t="s">
        <v>126</v>
      </c>
      <c r="U56" s="208">
        <f>W53/SUM(W52:W53)</f>
        <v>1</v>
      </c>
      <c r="V56" s="208">
        <f>((2*W53+NORMSINV(0.975)^2)-(NORMSINV(0.975)*SQRT(NORMSINV(0.975)^2+(4*W52*W53)/(W52+W53))))/(2*(W52+W53+NORMSINV(0.975)^2))</f>
        <v>0.67559243511611977</v>
      </c>
      <c r="W56" s="208">
        <f>((2*W53+NORMSINV(0.975)^2)+(NORMSINV(0.975)*SQRT(NORMSINV(0.975)^2+(4*W52*W53)/(W52+W53))))/(2*(W52+W53+NORMSINV(0.975)^2))</f>
        <v>0.99999999999999989</v>
      </c>
      <c r="X56" s="27"/>
      <c r="Z56" s="207" t="s">
        <v>126</v>
      </c>
      <c r="AA56" s="208">
        <f>AC53/SUM(AC52:AC53)</f>
        <v>0.25</v>
      </c>
      <c r="AB56" s="208">
        <f>((2*AC53+NORMSINV(0.975)^2)-(NORMSINV(0.975)*SQRT(NORMSINV(0.975)^2+(4*AC52*AC53)/(AC52+AC53))))/(2*(AC52+AC53+NORMSINV(0.975)^2))</f>
        <v>7.1479212752109028E-2</v>
      </c>
      <c r="AC56" s="208">
        <f>((2*AC53+NORMSINV(0.975)^2)+(NORMSINV(0.975)*SQRT(NORMSINV(0.975)^2+(4*AC52*AC53)/(AC52+AC53))))/(2*(AC52+AC53+NORMSINV(0.975)^2))</f>
        <v>0.590724569689831</v>
      </c>
      <c r="AD56" s="27"/>
    </row>
    <row r="57" spans="14:30" x14ac:dyDescent="0.3">
      <c r="N57" s="207" t="s">
        <v>127</v>
      </c>
      <c r="O57" s="208">
        <f>P52/SUM(P52:P53)</f>
        <v>1</v>
      </c>
      <c r="P57" s="208">
        <f>((2*P52+NORMSINV(0.975)^2)-(NORMSINV(0.975)*SQRT(NORMSINV(0.975)^2+(4*P52*P53)/(P52+P53))))/(2*(P52+P53+NORMSINV(0.975)^2))</f>
        <v>0.64566956493331262</v>
      </c>
      <c r="Q57" s="208">
        <f>((2*P52+NORMSINV(0.975)^2)+(NORMSINV(0.975)*SQRT(NORMSINV(0.975)^2+(4*P52*P53)/(P52+P53))))/(2*(P52+P53+NORMSINV(0.975)^2))</f>
        <v>0.99999999999999989</v>
      </c>
      <c r="R57" s="27"/>
      <c r="T57" s="207" t="s">
        <v>127</v>
      </c>
      <c r="U57" s="208">
        <f>V52/SUM(V52:V53)</f>
        <v>1</v>
      </c>
      <c r="V57" s="208">
        <f>((2*V52+NORMSINV(0.975)^2)-(NORMSINV(0.975)*SQRT(NORMSINV(0.975)^2+(4*V52*V53)/(V52+V53))))/(2*(V52+V53+NORMSINV(0.975)^2))</f>
        <v>0.64566956493331262</v>
      </c>
      <c r="W57" s="208">
        <f>((2*V52+NORMSINV(0.975)^2)+(NORMSINV(0.975)*SQRT(NORMSINV(0.975)^2+(4*V52*V53)/(V52+V53))))/(2*(V52+V53+NORMSINV(0.975)^2))</f>
        <v>0.99999999999999989</v>
      </c>
      <c r="X57" s="27"/>
      <c r="Z57" s="207" t="s">
        <v>127</v>
      </c>
      <c r="AA57" s="208">
        <f>AB52/SUM(AB52:AB53)</f>
        <v>0.8571428571428571</v>
      </c>
      <c r="AB57" s="208">
        <f>((2*AB52+NORMSINV(0.975)^2)-(NORMSINV(0.975)*SQRT(NORMSINV(0.975)^2+(4*AB52*AB53)/(AB52+AB53))))/(2*(AB52+AB53+NORMSINV(0.975)^2))</f>
        <v>0.48687217072568117</v>
      </c>
      <c r="AC57" s="208">
        <f>((2*AB52+NORMSINV(0.975)^2)+(NORMSINV(0.975)*SQRT(NORMSINV(0.975)^2+(4*AB52*AB53)/(AB52+AB53))))/(2*(AB52+AB53+NORMSINV(0.975)^2))</f>
        <v>0.97432037565525653</v>
      </c>
      <c r="AD57" s="27"/>
    </row>
    <row r="58" spans="14:30" ht="15" thickBot="1" x14ac:dyDescent="0.35">
      <c r="N58" s="209" t="s">
        <v>128</v>
      </c>
      <c r="O58" s="210">
        <f>SUM(P52,Q53)/SUM(P52:Q53)</f>
        <v>1</v>
      </c>
      <c r="P58" s="210">
        <f>((2*(P52+Q53)+NORMSINV(0.975)^2)-(NORMSINV(0.975)*SQRT(NORMSINV(0.975)^2+(4*(P52+Q53)*(Q52+P53))/SUM(P52:Q53))))/(2*(SUM(P52:Q53)+NORMSINV(0.975)^2))</f>
        <v>0.79611669896415149</v>
      </c>
      <c r="Q58" s="210">
        <f>((2*(P52+Q53)+NORMSINV(0.975)^2)+(NORMSINV(0.975)*SQRT(NORMSINV(0.975)^2+(4*(P52+Q53)*(Q52+P53))/SUM(P52:Q53))))/(2*(SUM(P52:Q53)+NORMSINV(0.975)^2))</f>
        <v>1</v>
      </c>
      <c r="R58" s="28"/>
      <c r="T58" s="209" t="s">
        <v>128</v>
      </c>
      <c r="U58" s="210">
        <f>SUM(V52,W53)/SUM(V52:W53)</f>
        <v>1</v>
      </c>
      <c r="V58" s="210">
        <f>((2*(V52+W53)+NORMSINV(0.975)^2)-(NORMSINV(0.975)*SQRT(NORMSINV(0.975)^2+(4*(V52+W53)*(W52+V53))/SUM(V52:W53))))/(2*(SUM(V52:W53)+NORMSINV(0.975)^2))</f>
        <v>0.79611669896415149</v>
      </c>
      <c r="W58" s="210">
        <f>((2*(V52+W53)+NORMSINV(0.975)^2)+(NORMSINV(0.975)*SQRT(NORMSINV(0.975)^2+(4*(V52+W53)*(W52+V53))/SUM(V52:W53))))/(2*(SUM(V52:W53)+NORMSINV(0.975)^2))</f>
        <v>1</v>
      </c>
      <c r="X58" s="28"/>
      <c r="Z58" s="209" t="s">
        <v>128</v>
      </c>
      <c r="AA58" s="210">
        <f>SUM(AB52,AC53)/SUM(AB52:AC53)</f>
        <v>0.53333333333333333</v>
      </c>
      <c r="AB58" s="210">
        <f>((2*(AB52+AC53)+NORMSINV(0.975)^2)-(NORMSINV(0.975)*SQRT(NORMSINV(0.975)^2+(4*(AB52+AC53)*(AC52+AB53))/SUM(AB52:AC53))))/(2*(SUM(AB52:AC53)+NORMSINV(0.975)^2))</f>
        <v>0.30116980025498397</v>
      </c>
      <c r="AC58" s="210">
        <f>((2*(AB52+AC53)+NORMSINV(0.975)^2)+(NORMSINV(0.975)*SQRT(NORMSINV(0.975)^2+(4*(AB52+AC53)*(AC52+AB53))/SUM(AB52:AC53))))/(2*(SUM(AB52:AC53)+NORMSINV(0.975)^2))</f>
        <v>0.7519046463426261</v>
      </c>
      <c r="AD58" s="28"/>
    </row>
    <row r="60" spans="14:30" ht="15" thickBot="1" x14ac:dyDescent="0.35">
      <c r="N60" s="14" t="s">
        <v>131</v>
      </c>
      <c r="T60" s="14" t="s">
        <v>131</v>
      </c>
      <c r="Z60" s="14" t="s">
        <v>131</v>
      </c>
    </row>
    <row r="61" spans="14:30" x14ac:dyDescent="0.3">
      <c r="N61" s="3"/>
      <c r="O61" s="4"/>
      <c r="P61" s="231" t="s">
        <v>106</v>
      </c>
      <c r="Q61" s="231"/>
      <c r="R61" s="232"/>
      <c r="T61" s="3"/>
      <c r="U61" s="4"/>
      <c r="V61" s="231" t="s">
        <v>106</v>
      </c>
      <c r="W61" s="231"/>
      <c r="X61" s="232"/>
      <c r="Z61" s="3"/>
      <c r="AA61" s="4"/>
      <c r="AB61" s="231" t="s">
        <v>106</v>
      </c>
      <c r="AC61" s="231"/>
      <c r="AD61" s="232"/>
    </row>
    <row r="62" spans="14:30" ht="24" x14ac:dyDescent="0.3">
      <c r="N62" s="5"/>
      <c r="O62" s="31" t="s">
        <v>118</v>
      </c>
      <c r="P62" s="199" t="s">
        <v>119</v>
      </c>
      <c r="Q62" s="199" t="s">
        <v>120</v>
      </c>
      <c r="R62" s="200" t="s">
        <v>121</v>
      </c>
      <c r="T62" s="5"/>
      <c r="U62" s="31" t="s">
        <v>118</v>
      </c>
      <c r="V62" s="199" t="s">
        <v>119</v>
      </c>
      <c r="W62" s="199" t="s">
        <v>120</v>
      </c>
      <c r="X62" s="200" t="s">
        <v>121</v>
      </c>
      <c r="Z62" s="5"/>
      <c r="AA62" s="31" t="s">
        <v>118</v>
      </c>
      <c r="AB62" s="199" t="s">
        <v>119</v>
      </c>
      <c r="AC62" s="199" t="s">
        <v>120</v>
      </c>
      <c r="AD62" s="200" t="s">
        <v>121</v>
      </c>
    </row>
    <row r="63" spans="14:30" x14ac:dyDescent="0.3">
      <c r="N63" s="221" t="s">
        <v>111</v>
      </c>
      <c r="O63" s="201" t="s">
        <v>119</v>
      </c>
      <c r="P63" s="202">
        <f>COUNTIFS(C2:C21,"ON",L2:L21,"ON")</f>
        <v>5</v>
      </c>
      <c r="Q63" s="202">
        <f>COUNTIFS(C2:C21,"ON",L2:L21,"NE")</f>
        <v>1</v>
      </c>
      <c r="R63" s="203">
        <f>COUNTIFS(C2:C21,"ON",L2:L21,"OFF")</f>
        <v>0</v>
      </c>
      <c r="T63" s="221" t="s">
        <v>114</v>
      </c>
      <c r="U63" s="201" t="s">
        <v>119</v>
      </c>
      <c r="V63" s="202">
        <f>COUNTIFS(I2:I21,"ON",L2:L21,"ON")</f>
        <v>5</v>
      </c>
      <c r="W63" s="202">
        <f>COUNTIFS(I2:I21,"ON",L2:L21,"NE")</f>
        <v>1</v>
      </c>
      <c r="X63" s="203">
        <f>COUNTIFS(I2:I21,"ON",L2:L21,"OFF")</f>
        <v>0</v>
      </c>
      <c r="Z63" s="221" t="s">
        <v>105</v>
      </c>
      <c r="AA63" s="201" t="s">
        <v>119</v>
      </c>
      <c r="AB63" s="202">
        <f>COUNTIFS(F2:F21,"ON",L2:L21,"ON")</f>
        <v>5</v>
      </c>
      <c r="AC63" s="202">
        <f>COUNTIFS(F2:F21,"ON",L2:L21,"NE")</f>
        <v>1</v>
      </c>
      <c r="AD63" s="203">
        <f>COUNTIFS(F2:F21,"ON",L2:L21,"OFF")</f>
        <v>0</v>
      </c>
    </row>
    <row r="64" spans="14:30" x14ac:dyDescent="0.3">
      <c r="N64" s="221"/>
      <c r="O64" s="201" t="s">
        <v>120</v>
      </c>
      <c r="P64" s="202">
        <f>COUNTIFS(C2:C21,"NE",L2:L21,"ON")</f>
        <v>0</v>
      </c>
      <c r="Q64" s="202">
        <f>COUNTIFS(C2:C21,"NE",L2:L21,"NE")</f>
        <v>0</v>
      </c>
      <c r="R64" s="203">
        <f>COUNTIFS(C2:C21,"NE",L2:L21,"OFF")</f>
        <v>1</v>
      </c>
      <c r="T64" s="221"/>
      <c r="U64" s="201" t="s">
        <v>120</v>
      </c>
      <c r="V64" s="202">
        <f>COUNTIFS(I2:I21,"NE",L2:L21,"ON")</f>
        <v>0</v>
      </c>
      <c r="W64" s="202">
        <f>COUNTIFS(I2:I21,"NE",L2:L21,"NE")</f>
        <v>0</v>
      </c>
      <c r="X64" s="203">
        <f>COUNTIFS(I2:I21,"NE",L2:L21,"OFF")</f>
        <v>1</v>
      </c>
      <c r="Z64" s="221"/>
      <c r="AA64" s="201" t="s">
        <v>120</v>
      </c>
      <c r="AB64" s="202">
        <f>COUNTIFS(F2:F21,"NE",L2:L21,"ON")</f>
        <v>0</v>
      </c>
      <c r="AC64" s="202">
        <f>COUNTIFS(F2:F21,"NE",L2:L21,"NE")</f>
        <v>0</v>
      </c>
      <c r="AD64" s="203">
        <f>COUNTIFS(F2:F21,"NE",L2:L21,"OFF")</f>
        <v>1</v>
      </c>
    </row>
    <row r="65" spans="14:30" x14ac:dyDescent="0.3">
      <c r="N65" s="221"/>
      <c r="O65" s="201" t="s">
        <v>121</v>
      </c>
      <c r="P65" s="202">
        <f>COUNTIFS(C2:C21,"OFF",L2:L21,"ON")</f>
        <v>1</v>
      </c>
      <c r="Q65" s="202">
        <f>COUNTIFS(C2:C21,"OFF",L2:L21,"NE")</f>
        <v>5</v>
      </c>
      <c r="R65" s="203">
        <f>COUNTIFS(C2:C21,"OFF",L2:L21,"OFF")</f>
        <v>2</v>
      </c>
      <c r="T65" s="221"/>
      <c r="U65" s="201" t="s">
        <v>121</v>
      </c>
      <c r="V65" s="202">
        <f>COUNTIFS(I2:I21,"OFF",L2:L21,"ON")</f>
        <v>1</v>
      </c>
      <c r="W65" s="202">
        <f>COUNTIFS(I2:I21,"OFF",L2:L21,"NE")</f>
        <v>5</v>
      </c>
      <c r="X65" s="203">
        <f>COUNTIFS(I2:I21,"OFF",L2:L21,"OFF")</f>
        <v>2</v>
      </c>
      <c r="Z65" s="221"/>
      <c r="AA65" s="201" t="s">
        <v>121</v>
      </c>
      <c r="AB65" s="202">
        <f>COUNTIFS(F2:F21,"OFF",L2:L21,"ON")</f>
        <v>1</v>
      </c>
      <c r="AC65" s="202">
        <f>COUNTIFS(F2:F21,"OFF",L2:L21,"NE")</f>
        <v>5</v>
      </c>
      <c r="AD65" s="203">
        <f>COUNTIFS(F2:F21,"OFF",L2:L21,"OFF")</f>
        <v>2</v>
      </c>
    </row>
    <row r="66" spans="14:30" x14ac:dyDescent="0.3">
      <c r="N66" s="5"/>
      <c r="R66" s="27"/>
      <c r="T66" s="5"/>
      <c r="X66" s="27"/>
      <c r="Z66" s="5"/>
      <c r="AD66" s="27"/>
    </row>
    <row r="67" spans="14:30" x14ac:dyDescent="0.3">
      <c r="N67" s="222" t="s">
        <v>122</v>
      </c>
      <c r="O67" s="223"/>
      <c r="P67" s="223"/>
      <c r="Q67" s="223"/>
      <c r="R67" s="224"/>
      <c r="T67" s="204" t="s">
        <v>122</v>
      </c>
      <c r="X67" s="27"/>
      <c r="Z67" s="204" t="s">
        <v>122</v>
      </c>
      <c r="AD67" s="27"/>
    </row>
    <row r="68" spans="14:30" x14ac:dyDescent="0.3">
      <c r="N68" s="5"/>
      <c r="P68" s="230" t="s">
        <v>106</v>
      </c>
      <c r="Q68" s="230"/>
      <c r="R68" s="27"/>
      <c r="T68" s="5"/>
      <c r="V68" s="230" t="s">
        <v>106</v>
      </c>
      <c r="W68" s="230"/>
      <c r="X68" s="27"/>
      <c r="Z68" s="5"/>
      <c r="AB68" s="230" t="s">
        <v>106</v>
      </c>
      <c r="AC68" s="230"/>
      <c r="AD68" s="27"/>
    </row>
    <row r="69" spans="14:30" ht="24" x14ac:dyDescent="0.3">
      <c r="N69" s="5"/>
      <c r="O69" s="31" t="s">
        <v>123</v>
      </c>
      <c r="P69" s="199" t="s">
        <v>119</v>
      </c>
      <c r="Q69" s="199" t="s">
        <v>121</v>
      </c>
      <c r="R69" s="27"/>
      <c r="T69" s="5"/>
      <c r="U69" s="31" t="s">
        <v>123</v>
      </c>
      <c r="V69" s="199" t="s">
        <v>119</v>
      </c>
      <c r="W69" s="199" t="s">
        <v>121</v>
      </c>
      <c r="X69" s="27"/>
      <c r="Z69" s="5"/>
      <c r="AA69" s="31" t="s">
        <v>123</v>
      </c>
      <c r="AB69" s="199" t="s">
        <v>119</v>
      </c>
      <c r="AC69" s="199" t="s">
        <v>121</v>
      </c>
      <c r="AD69" s="27"/>
    </row>
    <row r="70" spans="14:30" x14ac:dyDescent="0.3">
      <c r="N70" s="221" t="s">
        <v>111</v>
      </c>
      <c r="O70" s="201" t="s">
        <v>119</v>
      </c>
      <c r="P70" s="202">
        <f>P63</f>
        <v>5</v>
      </c>
      <c r="Q70" s="202">
        <f>SUM(Q63:R63)</f>
        <v>1</v>
      </c>
      <c r="R70" s="72"/>
      <c r="T70" s="221" t="s">
        <v>114</v>
      </c>
      <c r="U70" s="201" t="s">
        <v>119</v>
      </c>
      <c r="V70" s="202">
        <f>V63</f>
        <v>5</v>
      </c>
      <c r="W70" s="202">
        <f>SUM(W63:X63)</f>
        <v>1</v>
      </c>
      <c r="X70" s="72"/>
      <c r="Z70" s="221" t="s">
        <v>105</v>
      </c>
      <c r="AA70" s="201" t="s">
        <v>119</v>
      </c>
      <c r="AB70" s="202">
        <f>AB63</f>
        <v>5</v>
      </c>
      <c r="AC70" s="202">
        <f>SUM(AC63:AD63)</f>
        <v>1</v>
      </c>
      <c r="AD70" s="72"/>
    </row>
    <row r="71" spans="14:30" x14ac:dyDescent="0.3">
      <c r="N71" s="221"/>
      <c r="O71" s="201" t="s">
        <v>121</v>
      </c>
      <c r="P71" s="202">
        <f>SUM(P64:P65)</f>
        <v>1</v>
      </c>
      <c r="Q71" s="202">
        <f>SUM(Q64:R65)</f>
        <v>8</v>
      </c>
      <c r="R71" s="72"/>
      <c r="T71" s="221"/>
      <c r="U71" s="201" t="s">
        <v>121</v>
      </c>
      <c r="V71" s="202">
        <f>SUM(V64:V65)</f>
        <v>1</v>
      </c>
      <c r="W71" s="202">
        <f>SUM(W64:X65)</f>
        <v>8</v>
      </c>
      <c r="X71" s="72"/>
      <c r="Z71" s="221"/>
      <c r="AA71" s="201" t="s">
        <v>121</v>
      </c>
      <c r="AB71" s="202">
        <f>SUM(AB64:AB65)</f>
        <v>1</v>
      </c>
      <c r="AC71" s="202">
        <f>SUM(AC64:AD65)</f>
        <v>8</v>
      </c>
      <c r="AD71" s="72"/>
    </row>
    <row r="72" spans="14:30" x14ac:dyDescent="0.3">
      <c r="N72" s="5"/>
      <c r="R72" s="27"/>
      <c r="T72" s="5"/>
      <c r="X72" s="27"/>
      <c r="Z72" s="5"/>
      <c r="AD72" s="27"/>
    </row>
    <row r="73" spans="14:30" ht="36" x14ac:dyDescent="0.3">
      <c r="N73" s="205" t="s">
        <v>2</v>
      </c>
      <c r="O73" s="206" t="s">
        <v>61</v>
      </c>
      <c r="P73" s="199" t="s">
        <v>124</v>
      </c>
      <c r="Q73" s="199" t="s">
        <v>125</v>
      </c>
      <c r="R73" s="27"/>
      <c r="T73" s="205" t="s">
        <v>6</v>
      </c>
      <c r="U73" s="206" t="s">
        <v>61</v>
      </c>
      <c r="V73" s="199" t="s">
        <v>124</v>
      </c>
      <c r="W73" s="199" t="s">
        <v>125</v>
      </c>
      <c r="X73" s="27"/>
      <c r="Z73" s="205" t="s">
        <v>28</v>
      </c>
      <c r="AA73" s="206" t="s">
        <v>61</v>
      </c>
      <c r="AB73" s="199" t="s">
        <v>124</v>
      </c>
      <c r="AC73" s="199" t="s">
        <v>125</v>
      </c>
      <c r="AD73" s="27"/>
    </row>
    <row r="74" spans="14:30" x14ac:dyDescent="0.3">
      <c r="N74" s="207" t="s">
        <v>126</v>
      </c>
      <c r="O74" s="208">
        <f>Q71/SUM(Q70:Q71)</f>
        <v>0.88888888888888884</v>
      </c>
      <c r="P74" s="208">
        <f>((2*Q71+NORMSINV(0.975)^2)-(NORMSINV(0.975)*SQRT(NORMSINV(0.975)^2+(4*Q70*Q71)/(Q70+Q71))))/(2*(Q70+Q71+NORMSINV(0.975)^2))</f>
        <v>0.56500029442334398</v>
      </c>
      <c r="Q74" s="208">
        <f>((2*Q71+NORMSINV(0.975)^2)+(NORMSINV(0.975)*SQRT(NORMSINV(0.975)^2+(4*Q70*Q71)/(Q70+Q71))))/(2*(Q70+Q71+NORMSINV(0.975)^2))</f>
        <v>0.98010911236145504</v>
      </c>
      <c r="R74" s="27"/>
      <c r="T74" s="207" t="s">
        <v>126</v>
      </c>
      <c r="U74" s="208">
        <f>W71/SUM(W70:W71)</f>
        <v>0.88888888888888884</v>
      </c>
      <c r="V74" s="208">
        <f>((2*W71+NORMSINV(0.975)^2)-(NORMSINV(0.975)*SQRT(NORMSINV(0.975)^2+(4*W70*W71)/(W70+W71))))/(2*(W70+W71+NORMSINV(0.975)^2))</f>
        <v>0.56500029442334398</v>
      </c>
      <c r="W74" s="208">
        <f>((2*W71+NORMSINV(0.975)^2)+(NORMSINV(0.975)*SQRT(NORMSINV(0.975)^2+(4*W70*W71)/(W70+W71))))/(2*(W70+W71+NORMSINV(0.975)^2))</f>
        <v>0.98010911236145504</v>
      </c>
      <c r="X74" s="27"/>
      <c r="Z74" s="207" t="s">
        <v>126</v>
      </c>
      <c r="AA74" s="208">
        <f>AC71/SUM(AC70:AC71)</f>
        <v>0.88888888888888884</v>
      </c>
      <c r="AB74" s="208">
        <f>((2*AC71+NORMSINV(0.975)^2)-(NORMSINV(0.975)*SQRT(NORMSINV(0.975)^2+(4*AC70*AC71)/(AC70+AC71))))/(2*(AC70+AC71+NORMSINV(0.975)^2))</f>
        <v>0.56500029442334398</v>
      </c>
      <c r="AC74" s="208">
        <f>((2*AC71+NORMSINV(0.975)^2)+(NORMSINV(0.975)*SQRT(NORMSINV(0.975)^2+(4*AC70*AC71)/(AC70+AC71))))/(2*(AC70+AC71+NORMSINV(0.975)^2))</f>
        <v>0.98010911236145504</v>
      </c>
      <c r="AD74" s="27"/>
    </row>
    <row r="75" spans="14:30" x14ac:dyDescent="0.3">
      <c r="N75" s="207" t="s">
        <v>127</v>
      </c>
      <c r="O75" s="208">
        <f>P70/SUM(P70:P71)</f>
        <v>0.83333333333333337</v>
      </c>
      <c r="P75" s="208">
        <f>((2*P70+NORMSINV(0.975)^2)-(NORMSINV(0.975)*SQRT(NORMSINV(0.975)^2+(4*P70*P71)/(P70+P71))))/(2*(P70+P71+NORMSINV(0.975)^2))</f>
        <v>0.43649717781352981</v>
      </c>
      <c r="Q75" s="208">
        <f>((2*P70+NORMSINV(0.975)^2)+(NORMSINV(0.975)*SQRT(NORMSINV(0.975)^2+(4*P70*P71)/(P70+P71))))/(2*(P70+P71+NORMSINV(0.975)^2))</f>
        <v>0.96994663025169348</v>
      </c>
      <c r="R75" s="27"/>
      <c r="T75" s="207" t="s">
        <v>127</v>
      </c>
      <c r="U75" s="208">
        <f>V70/SUM(V70:V71)</f>
        <v>0.83333333333333337</v>
      </c>
      <c r="V75" s="208">
        <f>((2*V70+NORMSINV(0.975)^2)-(NORMSINV(0.975)*SQRT(NORMSINV(0.975)^2+(4*V70*V71)/(V70+V71))))/(2*(V70+V71+NORMSINV(0.975)^2))</f>
        <v>0.43649717781352981</v>
      </c>
      <c r="W75" s="208">
        <f>((2*V70+NORMSINV(0.975)^2)+(NORMSINV(0.975)*SQRT(NORMSINV(0.975)^2+(4*V70*V71)/(V70+V71))))/(2*(V70+V71+NORMSINV(0.975)^2))</f>
        <v>0.96994663025169348</v>
      </c>
      <c r="X75" s="27"/>
      <c r="Z75" s="207" t="s">
        <v>127</v>
      </c>
      <c r="AA75" s="208">
        <f>AB70/SUM(AB70:AB71)</f>
        <v>0.83333333333333337</v>
      </c>
      <c r="AB75" s="208">
        <f>((2*AB70+NORMSINV(0.975)^2)-(NORMSINV(0.975)*SQRT(NORMSINV(0.975)^2+(4*AB70*AB71)/(AB70+AB71))))/(2*(AB70+AB71+NORMSINV(0.975)^2))</f>
        <v>0.43649717781352981</v>
      </c>
      <c r="AC75" s="208">
        <f>((2*AB70+NORMSINV(0.975)^2)+(NORMSINV(0.975)*SQRT(NORMSINV(0.975)^2+(4*AB70*AB71)/(AB70+AB71))))/(2*(AB70+AB71+NORMSINV(0.975)^2))</f>
        <v>0.96994663025169348</v>
      </c>
      <c r="AD75" s="27"/>
    </row>
    <row r="76" spans="14:30" x14ac:dyDescent="0.3">
      <c r="N76" s="207" t="s">
        <v>128</v>
      </c>
      <c r="O76" s="208">
        <f>SUM(P70,Q71)/SUM(P70:Q71)</f>
        <v>0.8666666666666667</v>
      </c>
      <c r="P76" s="208">
        <f>((2*(P70+Q71)+NORMSINV(0.975)^2)-(NORMSINV(0.975)*SQRT(NORMSINV(0.975)^2+(4*(P70+Q71)*(Q70+P71))/SUM(P70:Q71))))/(2*(SUM(P70:Q71)+NORMSINV(0.975)^2))</f>
        <v>0.62118017167677642</v>
      </c>
      <c r="Q76" s="208">
        <f>((2*(P70+Q71)+NORMSINV(0.975)^2)+(NORMSINV(0.975)*SQRT(NORMSINV(0.975)^2+(4*(P70+Q71)*(Q70+P71))/SUM(P70:Q71))))/(2*(SUM(P70:Q71)+NORMSINV(0.975)^2))</f>
        <v>0.96263874089693469</v>
      </c>
      <c r="R76" s="27"/>
      <c r="T76" s="207" t="s">
        <v>128</v>
      </c>
      <c r="U76" s="208">
        <f>SUM(V70,W71)/SUM(V70:W71)</f>
        <v>0.8666666666666667</v>
      </c>
      <c r="V76" s="208">
        <f>((2*(V70+W71)+NORMSINV(0.975)^2)-(NORMSINV(0.975)*SQRT(NORMSINV(0.975)^2+(4*(V70+W71)*(W70+V71))/SUM(V70:W71))))/(2*(SUM(V70:W71)+NORMSINV(0.975)^2))</f>
        <v>0.62118017167677642</v>
      </c>
      <c r="W76" s="208">
        <f>((2*(V70+W71)+NORMSINV(0.975)^2)+(NORMSINV(0.975)*SQRT(NORMSINV(0.975)^2+(4*(V70+W71)*(W70+V71))/SUM(V70:W71))))/(2*(SUM(V70:W71)+NORMSINV(0.975)^2))</f>
        <v>0.96263874089693469</v>
      </c>
      <c r="X76" s="27"/>
      <c r="Z76" s="207" t="s">
        <v>128</v>
      </c>
      <c r="AA76" s="208">
        <f>SUM(AB70,AC71)/SUM(AB70:AC71)</f>
        <v>0.8666666666666667</v>
      </c>
      <c r="AB76" s="208">
        <f>((2*(AB70+AC71)+NORMSINV(0.975)^2)-(NORMSINV(0.975)*SQRT(NORMSINV(0.975)^2+(4*(AB70+AC71)*(AC70+AB71))/SUM(AB70:AC71))))/(2*(SUM(AB70:AC71)+NORMSINV(0.975)^2))</f>
        <v>0.62118017167677642</v>
      </c>
      <c r="AC76" s="208">
        <f>((2*(AB70+AC71)+NORMSINV(0.975)^2)+(NORMSINV(0.975)*SQRT(NORMSINV(0.975)^2+(4*(AB70+AC71)*(AC70+AB71))/SUM(AB70:AC71))))/(2*(SUM(AB70:AC71)+NORMSINV(0.975)^2))</f>
        <v>0.96263874089693469</v>
      </c>
      <c r="AD76" s="27"/>
    </row>
    <row r="77" spans="14:30" x14ac:dyDescent="0.3">
      <c r="N77" s="5"/>
      <c r="R77" s="27"/>
      <c r="T77" s="5"/>
      <c r="X77" s="27"/>
      <c r="Z77" s="5"/>
      <c r="AD77" s="27"/>
    </row>
    <row r="78" spans="14:30" ht="30.6" customHeight="1" x14ac:dyDescent="0.3">
      <c r="N78" s="222" t="s">
        <v>129</v>
      </c>
      <c r="O78" s="223"/>
      <c r="P78" s="223"/>
      <c r="Q78" s="223"/>
      <c r="R78" s="224"/>
      <c r="T78" s="225" t="s">
        <v>129</v>
      </c>
      <c r="U78" s="226"/>
      <c r="V78" s="226"/>
      <c r="W78" s="226"/>
      <c r="X78" s="227"/>
      <c r="Z78" s="225" t="s">
        <v>129</v>
      </c>
      <c r="AA78" s="226"/>
      <c r="AB78" s="226"/>
      <c r="AC78" s="226"/>
      <c r="AD78" s="227"/>
    </row>
    <row r="79" spans="14:30" x14ac:dyDescent="0.3">
      <c r="N79" s="5"/>
      <c r="P79" s="228" t="s">
        <v>106</v>
      </c>
      <c r="Q79" s="229"/>
      <c r="R79" s="27"/>
      <c r="T79" s="5"/>
      <c r="V79" s="228" t="s">
        <v>106</v>
      </c>
      <c r="W79" s="229"/>
      <c r="X79" s="27"/>
      <c r="Z79" s="5"/>
      <c r="AB79" s="228" t="s">
        <v>106</v>
      </c>
      <c r="AC79" s="229"/>
      <c r="AD79" s="27"/>
    </row>
    <row r="80" spans="14:30" ht="24" x14ac:dyDescent="0.3">
      <c r="N80" s="5"/>
      <c r="O80" s="31" t="s">
        <v>123</v>
      </c>
      <c r="P80" s="199" t="s">
        <v>119</v>
      </c>
      <c r="Q80" s="199" t="s">
        <v>121</v>
      </c>
      <c r="R80" s="27"/>
      <c r="T80" s="5"/>
      <c r="U80" s="31" t="s">
        <v>123</v>
      </c>
      <c r="V80" s="199" t="s">
        <v>119</v>
      </c>
      <c r="W80" s="199" t="s">
        <v>121</v>
      </c>
      <c r="X80" s="27"/>
      <c r="Z80" s="5"/>
      <c r="AA80" s="31" t="s">
        <v>123</v>
      </c>
      <c r="AB80" s="199" t="s">
        <v>119</v>
      </c>
      <c r="AC80" s="199" t="s">
        <v>121</v>
      </c>
      <c r="AD80" s="27"/>
    </row>
    <row r="81" spans="14:30" x14ac:dyDescent="0.3">
      <c r="N81" s="221" t="s">
        <v>111</v>
      </c>
      <c r="O81" s="201" t="s">
        <v>119</v>
      </c>
      <c r="P81" s="202">
        <f>SUM(P63:Q64)</f>
        <v>6</v>
      </c>
      <c r="Q81" s="202">
        <f>SUM(R63:R64)</f>
        <v>1</v>
      </c>
      <c r="R81" s="27"/>
      <c r="T81" s="221" t="s">
        <v>114</v>
      </c>
      <c r="U81" s="201" t="s">
        <v>119</v>
      </c>
      <c r="V81" s="202">
        <f>SUM(V63:W64)</f>
        <v>6</v>
      </c>
      <c r="W81" s="202">
        <f>SUM(X63:X64)</f>
        <v>1</v>
      </c>
      <c r="X81" s="27"/>
      <c r="Z81" s="221" t="s">
        <v>105</v>
      </c>
      <c r="AA81" s="201" t="s">
        <v>119</v>
      </c>
      <c r="AB81" s="202">
        <f>SUM(AB63:AC64)</f>
        <v>6</v>
      </c>
      <c r="AC81" s="202">
        <f>SUM(AD63:AD64)</f>
        <v>1</v>
      </c>
      <c r="AD81" s="27"/>
    </row>
    <row r="82" spans="14:30" x14ac:dyDescent="0.3">
      <c r="N82" s="221"/>
      <c r="O82" s="201" t="s">
        <v>121</v>
      </c>
      <c r="P82" s="202">
        <f>SUM(P65:Q65)</f>
        <v>6</v>
      </c>
      <c r="Q82" s="202">
        <f>R65</f>
        <v>2</v>
      </c>
      <c r="R82" s="27"/>
      <c r="T82" s="221"/>
      <c r="U82" s="201" t="s">
        <v>121</v>
      </c>
      <c r="V82" s="202">
        <f>SUM(V65:W65)</f>
        <v>6</v>
      </c>
      <c r="W82" s="202">
        <f>X65</f>
        <v>2</v>
      </c>
      <c r="X82" s="27"/>
      <c r="Z82" s="221"/>
      <c r="AA82" s="201" t="s">
        <v>121</v>
      </c>
      <c r="AB82" s="202">
        <f>SUM(AB65:AC65)</f>
        <v>6</v>
      </c>
      <c r="AC82" s="202">
        <f>AD65</f>
        <v>2</v>
      </c>
      <c r="AD82" s="27"/>
    </row>
    <row r="83" spans="14:30" x14ac:dyDescent="0.3">
      <c r="N83" s="5"/>
      <c r="R83" s="27"/>
      <c r="T83" s="5"/>
      <c r="X83" s="27"/>
      <c r="Z83" s="5"/>
      <c r="AD83" s="27"/>
    </row>
    <row r="84" spans="14:30" ht="36" x14ac:dyDescent="0.3">
      <c r="N84" s="205" t="s">
        <v>2</v>
      </c>
      <c r="O84" s="206" t="s">
        <v>61</v>
      </c>
      <c r="P84" s="199" t="s">
        <v>124</v>
      </c>
      <c r="Q84" s="199" t="s">
        <v>125</v>
      </c>
      <c r="R84" s="27"/>
      <c r="T84" s="205" t="s">
        <v>6</v>
      </c>
      <c r="U84" s="206" t="s">
        <v>61</v>
      </c>
      <c r="V84" s="199" t="s">
        <v>124</v>
      </c>
      <c r="W84" s="199" t="s">
        <v>125</v>
      </c>
      <c r="X84" s="27"/>
      <c r="Z84" s="205" t="s">
        <v>28</v>
      </c>
      <c r="AA84" s="206" t="s">
        <v>61</v>
      </c>
      <c r="AB84" s="199" t="s">
        <v>124</v>
      </c>
      <c r="AC84" s="199" t="s">
        <v>125</v>
      </c>
      <c r="AD84" s="27"/>
    </row>
    <row r="85" spans="14:30" x14ac:dyDescent="0.3">
      <c r="N85" s="207" t="s">
        <v>126</v>
      </c>
      <c r="O85" s="208">
        <f>Q82/SUM(Q81:Q82)</f>
        <v>0.66666666666666663</v>
      </c>
      <c r="P85" s="208">
        <f>((2*Q82+NORMSINV(0.975)^2)-(NORMSINV(0.975)*SQRT(NORMSINV(0.975)^2+(4*Q81*Q82)/(Q81+Q82))))/(2*(Q81+Q82+NORMSINV(0.975)^2))</f>
        <v>0.20765960080204784</v>
      </c>
      <c r="Q85" s="208">
        <f>((2*Q82+NORMSINV(0.975)^2)+(NORMSINV(0.975)*SQRT(NORMSINV(0.975)^2+(4*Q81*Q82)/(Q81+Q82))))/(2*(Q81+Q82+NORMSINV(0.975)^2))</f>
        <v>0.93850805527960368</v>
      </c>
      <c r="R85" s="27"/>
      <c r="T85" s="207" t="s">
        <v>126</v>
      </c>
      <c r="U85" s="208">
        <f>W82/SUM(W81:W82)</f>
        <v>0.66666666666666663</v>
      </c>
      <c r="V85" s="208">
        <f>((2*W82+NORMSINV(0.975)^2)-(NORMSINV(0.975)*SQRT(NORMSINV(0.975)^2+(4*W81*W82)/(W81+W82))))/(2*(W81+W82+NORMSINV(0.975)^2))</f>
        <v>0.20765960080204784</v>
      </c>
      <c r="W85" s="208">
        <f>((2*W82+NORMSINV(0.975)^2)+(NORMSINV(0.975)*SQRT(NORMSINV(0.975)^2+(4*W81*W82)/(W81+W82))))/(2*(W81+W82+NORMSINV(0.975)^2))</f>
        <v>0.93850805527960368</v>
      </c>
      <c r="X85" s="27"/>
      <c r="Z85" s="207" t="s">
        <v>126</v>
      </c>
      <c r="AA85" s="208">
        <f>AC82/SUM(AC81:AC82)</f>
        <v>0.66666666666666663</v>
      </c>
      <c r="AB85" s="208">
        <f>((2*AC82+NORMSINV(0.975)^2)-(NORMSINV(0.975)*SQRT(NORMSINV(0.975)^2+(4*AC81*AC82)/(AC81+AC82))))/(2*(AC81+AC82+NORMSINV(0.975)^2))</f>
        <v>0.20765960080204784</v>
      </c>
      <c r="AC85" s="208">
        <f>((2*AC82+NORMSINV(0.975)^2)+(NORMSINV(0.975)*SQRT(NORMSINV(0.975)^2+(4*AC81*AC82)/(AC81+AC82))))/(2*(AC81+AC82+NORMSINV(0.975)^2))</f>
        <v>0.93850805527960368</v>
      </c>
      <c r="AD85" s="27"/>
    </row>
    <row r="86" spans="14:30" x14ac:dyDescent="0.3">
      <c r="N86" s="207" t="s">
        <v>127</v>
      </c>
      <c r="O86" s="208">
        <f>P81/SUM(P81:P82)</f>
        <v>0.5</v>
      </c>
      <c r="P86" s="208">
        <f>((2*P81+NORMSINV(0.975)^2)-(NORMSINV(0.975)*SQRT(NORMSINV(0.975)^2+(4*P81*P82)/(P81+P82))))/(2*(P81+P82+NORMSINV(0.975)^2))</f>
        <v>0.25378159763370606</v>
      </c>
      <c r="Q86" s="208">
        <f>((2*P81+NORMSINV(0.975)^2)+(NORMSINV(0.975)*SQRT(NORMSINV(0.975)^2+(4*P81*P82)/(P81+P82))))/(2*(P81+P82+NORMSINV(0.975)^2))</f>
        <v>0.74621840236629389</v>
      </c>
      <c r="R86" s="27"/>
      <c r="T86" s="207" t="s">
        <v>127</v>
      </c>
      <c r="U86" s="208">
        <f>V81/SUM(V81:V82)</f>
        <v>0.5</v>
      </c>
      <c r="V86" s="208">
        <f>((2*V81+NORMSINV(0.975)^2)-(NORMSINV(0.975)*SQRT(NORMSINV(0.975)^2+(4*V81*V82)/(V81+V82))))/(2*(V81+V82+NORMSINV(0.975)^2))</f>
        <v>0.25378159763370606</v>
      </c>
      <c r="W86" s="208">
        <f>((2*V81+NORMSINV(0.975)^2)+(NORMSINV(0.975)*SQRT(NORMSINV(0.975)^2+(4*V81*V82)/(V81+V82))))/(2*(V81+V82+NORMSINV(0.975)^2))</f>
        <v>0.74621840236629389</v>
      </c>
      <c r="X86" s="27"/>
      <c r="Z86" s="207" t="s">
        <v>127</v>
      </c>
      <c r="AA86" s="208">
        <f>AB81/SUM(AB81:AB82)</f>
        <v>0.5</v>
      </c>
      <c r="AB86" s="208">
        <f>((2*AB81+NORMSINV(0.975)^2)-(NORMSINV(0.975)*SQRT(NORMSINV(0.975)^2+(4*AB81*AB82)/(AB81+AB82))))/(2*(AB81+AB82+NORMSINV(0.975)^2))</f>
        <v>0.25378159763370606</v>
      </c>
      <c r="AC86" s="208">
        <f>((2*AB81+NORMSINV(0.975)^2)+(NORMSINV(0.975)*SQRT(NORMSINV(0.975)^2+(4*AB81*AB82)/(AB81+AB82))))/(2*(AB81+AB82+NORMSINV(0.975)^2))</f>
        <v>0.74621840236629389</v>
      </c>
      <c r="AD86" s="27"/>
    </row>
    <row r="87" spans="14:30" ht="15" thickBot="1" x14ac:dyDescent="0.35">
      <c r="N87" s="209" t="s">
        <v>128</v>
      </c>
      <c r="O87" s="210">
        <f>SUM(P81,Q82)/SUM(P81:Q82)</f>
        <v>0.53333333333333333</v>
      </c>
      <c r="P87" s="210">
        <f>((2*(P81+Q82)+NORMSINV(0.975)^2)-(NORMSINV(0.975)*SQRT(NORMSINV(0.975)^2+(4*(P81+Q82)*(Q81+P82))/SUM(P81:Q82))))/(2*(SUM(P81:Q82)+NORMSINV(0.975)^2))</f>
        <v>0.30116980025498397</v>
      </c>
      <c r="Q87" s="210">
        <f>((2*(P81+Q82)+NORMSINV(0.975)^2)+(NORMSINV(0.975)*SQRT(NORMSINV(0.975)^2+(4*(P81+Q82)*(Q81+P82))/SUM(P81:Q82))))/(2*(SUM(P81:Q82)+NORMSINV(0.975)^2))</f>
        <v>0.7519046463426261</v>
      </c>
      <c r="R87" s="28"/>
      <c r="T87" s="209" t="s">
        <v>128</v>
      </c>
      <c r="U87" s="210">
        <f>SUM(V81,W82)/SUM(V81:W82)</f>
        <v>0.53333333333333333</v>
      </c>
      <c r="V87" s="210">
        <f>((2*(V81+W82)+NORMSINV(0.975)^2)-(NORMSINV(0.975)*SQRT(NORMSINV(0.975)^2+(4*(V81+W82)*(W81+V82))/SUM(V81:W82))))/(2*(SUM(V81:W82)+NORMSINV(0.975)^2))</f>
        <v>0.30116980025498397</v>
      </c>
      <c r="W87" s="210">
        <f>((2*(V81+W82)+NORMSINV(0.975)^2)+(NORMSINV(0.975)*SQRT(NORMSINV(0.975)^2+(4*(V81+W82)*(W81+V82))/SUM(V81:W82))))/(2*(SUM(V81:W82)+NORMSINV(0.975)^2))</f>
        <v>0.7519046463426261</v>
      </c>
      <c r="X87" s="28"/>
      <c r="Z87" s="209" t="s">
        <v>128</v>
      </c>
      <c r="AA87" s="210">
        <f>SUM(AB81,AC82)/SUM(AB81:AC82)</f>
        <v>0.53333333333333333</v>
      </c>
      <c r="AB87" s="210">
        <f>((2*(AB81+AC82)+NORMSINV(0.975)^2)-(NORMSINV(0.975)*SQRT(NORMSINV(0.975)^2+(4*(AB81+AC82)*(AC81+AB82))/SUM(AB81:AC82))))/(2*(SUM(AB81:AC82)+NORMSINV(0.975)^2))</f>
        <v>0.30116980025498397</v>
      </c>
      <c r="AC87" s="210">
        <f>((2*(AB81+AC82)+NORMSINV(0.975)^2)+(NORMSINV(0.975)*SQRT(NORMSINV(0.975)^2+(4*(AB81+AC82)*(AC81+AB82))/SUM(AB81:AC82))))/(2*(SUM(AB81:AC82)+NORMSINV(0.975)^2))</f>
        <v>0.7519046463426261</v>
      </c>
      <c r="AD87" s="28"/>
    </row>
  </sheetData>
  <mergeCells count="66">
    <mergeCell ref="P3:R3"/>
    <mergeCell ref="V3:X3"/>
    <mergeCell ref="AB3:AD3"/>
    <mergeCell ref="N5:N7"/>
    <mergeCell ref="T5:T7"/>
    <mergeCell ref="Z5:Z7"/>
    <mergeCell ref="N9:R9"/>
    <mergeCell ref="P10:Q10"/>
    <mergeCell ref="V10:W10"/>
    <mergeCell ref="AB10:AC10"/>
    <mergeCell ref="N12:N13"/>
    <mergeCell ref="T12:T13"/>
    <mergeCell ref="Z12:Z13"/>
    <mergeCell ref="AB32:AD32"/>
    <mergeCell ref="N20:R20"/>
    <mergeCell ref="T20:X20"/>
    <mergeCell ref="Z20:AD20"/>
    <mergeCell ref="P21:Q21"/>
    <mergeCell ref="V21:W21"/>
    <mergeCell ref="AB21:AC21"/>
    <mergeCell ref="N23:N24"/>
    <mergeCell ref="T23:T24"/>
    <mergeCell ref="Z23:Z24"/>
    <mergeCell ref="P32:R32"/>
    <mergeCell ref="V32:X32"/>
    <mergeCell ref="N34:N36"/>
    <mergeCell ref="T34:T36"/>
    <mergeCell ref="Z34:Z36"/>
    <mergeCell ref="N38:R38"/>
    <mergeCell ref="P39:Q39"/>
    <mergeCell ref="V39:W39"/>
    <mergeCell ref="AB39:AC39"/>
    <mergeCell ref="N41:N42"/>
    <mergeCell ref="T41:T42"/>
    <mergeCell ref="Z41:Z42"/>
    <mergeCell ref="N49:R49"/>
    <mergeCell ref="T49:X49"/>
    <mergeCell ref="Z49:AD49"/>
    <mergeCell ref="P50:Q50"/>
    <mergeCell ref="V50:W50"/>
    <mergeCell ref="AB50:AC50"/>
    <mergeCell ref="N52:N53"/>
    <mergeCell ref="T52:T53"/>
    <mergeCell ref="Z52:Z53"/>
    <mergeCell ref="P61:R61"/>
    <mergeCell ref="V61:X61"/>
    <mergeCell ref="AB61:AD61"/>
    <mergeCell ref="N63:N65"/>
    <mergeCell ref="T63:T65"/>
    <mergeCell ref="Z63:Z65"/>
    <mergeCell ref="N67:R67"/>
    <mergeCell ref="P68:Q68"/>
    <mergeCell ref="V68:W68"/>
    <mergeCell ref="AB68:AC68"/>
    <mergeCell ref="N70:N71"/>
    <mergeCell ref="T70:T71"/>
    <mergeCell ref="Z70:Z71"/>
    <mergeCell ref="N81:N82"/>
    <mergeCell ref="T81:T82"/>
    <mergeCell ref="Z81:Z82"/>
    <mergeCell ref="N78:R78"/>
    <mergeCell ref="T78:X78"/>
    <mergeCell ref="Z78:AD78"/>
    <mergeCell ref="P79:Q79"/>
    <mergeCell ref="V79:W79"/>
    <mergeCell ref="AB79:AC79"/>
  </mergeCells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19AD0-9A09-4D2B-B081-22BFEE6EFE7D}">
  <sheetPr>
    <tabColor rgb="FFFFC000"/>
  </sheetPr>
  <dimension ref="A1:T75"/>
  <sheetViews>
    <sheetView zoomScale="80" zoomScaleNormal="80" workbookViewId="0">
      <selection activeCell="C52" sqref="C52"/>
    </sheetView>
  </sheetViews>
  <sheetFormatPr defaultRowHeight="14.4" x14ac:dyDescent="0.3"/>
  <cols>
    <col min="1" max="1" width="24.109375" customWidth="1"/>
    <col min="2" max="2" width="27.33203125" customWidth="1"/>
    <col min="3" max="3" width="9.88671875" style="2" customWidth="1"/>
    <col min="4" max="4" width="9.33203125" customWidth="1"/>
    <col min="5" max="5" width="8.6640625" customWidth="1"/>
    <col min="6" max="7" width="10.44140625" customWidth="1"/>
    <col min="8" max="8" width="7.88671875" customWidth="1"/>
    <col min="9" max="9" width="8.88671875" customWidth="1"/>
    <col min="10" max="12" width="10.109375" customWidth="1"/>
    <col min="13" max="13" width="9.88671875" customWidth="1"/>
    <col min="14" max="14" width="10.21875" customWidth="1"/>
    <col min="15" max="15" width="12" customWidth="1"/>
    <col min="16" max="16" width="12.33203125" customWidth="1"/>
  </cols>
  <sheetData>
    <row r="1" spans="1:20" ht="54" customHeight="1" thickBot="1" x14ac:dyDescent="0.35">
      <c r="A1" s="77" t="s">
        <v>92</v>
      </c>
      <c r="B1" s="78" t="s">
        <v>97</v>
      </c>
      <c r="C1" s="78" t="s">
        <v>158</v>
      </c>
      <c r="D1" s="78" t="s">
        <v>95</v>
      </c>
      <c r="E1" s="78" t="s">
        <v>75</v>
      </c>
      <c r="F1" s="79" t="s">
        <v>77</v>
      </c>
      <c r="G1" s="79" t="s">
        <v>78</v>
      </c>
      <c r="H1" s="80" t="s">
        <v>96</v>
      </c>
      <c r="I1" s="80" t="s">
        <v>98</v>
      </c>
      <c r="J1" s="79" t="s">
        <v>76</v>
      </c>
      <c r="K1" s="81" t="s">
        <v>80</v>
      </c>
      <c r="L1" s="81" t="s">
        <v>81</v>
      </c>
      <c r="M1" s="82" t="s">
        <v>96</v>
      </c>
      <c r="N1" s="82" t="s">
        <v>98</v>
      </c>
      <c r="O1" s="81" t="s">
        <v>79</v>
      </c>
      <c r="P1" s="83" t="s">
        <v>101</v>
      </c>
    </row>
    <row r="2" spans="1:20" ht="15" thickTop="1" x14ac:dyDescent="0.3">
      <c r="A2" s="164" t="s">
        <v>142</v>
      </c>
      <c r="B2" s="100" t="s">
        <v>73</v>
      </c>
      <c r="C2" s="185">
        <f>CTC!G2</f>
        <v>2000</v>
      </c>
      <c r="D2" s="179">
        <f>CTC!H2</f>
        <v>2036.8207722217953</v>
      </c>
      <c r="E2" s="183">
        <f t="shared" ref="E2:E7" si="0">ABS(D2-C2)</f>
        <v>36.820772221795323</v>
      </c>
      <c r="F2" s="180">
        <f>CTC!M2</f>
        <v>1907.5292008137922</v>
      </c>
      <c r="G2" s="180">
        <f>CTC!N2</f>
        <v>2113.9603858959426</v>
      </c>
      <c r="H2" s="180">
        <f t="shared" ref="H2:H7" si="1">F2-C2</f>
        <v>-92.470799186207842</v>
      </c>
      <c r="I2" s="180">
        <f t="shared" ref="I2:I7" si="2">G2-C2</f>
        <v>113.96038589594264</v>
      </c>
      <c r="J2" s="183">
        <f t="shared" ref="J2:J7" si="3">MAX(ABS(H2),ABS(I2))</f>
        <v>113.96038589594264</v>
      </c>
      <c r="K2" s="180">
        <f>CTC!Q2</f>
        <v>1928.7226340735069</v>
      </c>
      <c r="L2" s="180">
        <f>CTC!R2</f>
        <v>2115.2057385255562</v>
      </c>
      <c r="M2" s="180">
        <f>CTC!Q2-SummaryQuantCTC!C2</f>
        <v>-71.277365926493076</v>
      </c>
      <c r="N2" s="180">
        <f>CTC!R2-SummaryQuantCTC!C2</f>
        <v>115.20573852555617</v>
      </c>
      <c r="O2" s="183">
        <f t="shared" ref="O2:O7" si="4">MAX(ABS(M2),ABS(N2))</f>
        <v>115.20573852555617</v>
      </c>
      <c r="P2" s="166" t="str">
        <f t="shared" ref="P2:P7" si="5">IF(OR(E2&lt;J2,E2&lt;O2),"YES","NO")</f>
        <v>YES</v>
      </c>
      <c r="S2" s="163"/>
      <c r="T2" s="163"/>
    </row>
    <row r="3" spans="1:20" x14ac:dyDescent="0.3">
      <c r="A3" s="165"/>
      <c r="B3" s="134" t="s">
        <v>74</v>
      </c>
      <c r="C3" s="186">
        <f>CTC!G3</f>
        <v>6100</v>
      </c>
      <c r="D3" s="181">
        <f>CTC!H3</f>
        <v>6359.8594499397332</v>
      </c>
      <c r="E3" s="184">
        <f t="shared" si="0"/>
        <v>259.85944993973317</v>
      </c>
      <c r="F3" s="182">
        <f>CTC!M3</f>
        <v>6293.7341869633947</v>
      </c>
      <c r="G3" s="182">
        <f>CTC!N3</f>
        <v>6650.6132213039555</v>
      </c>
      <c r="H3" s="182">
        <f t="shared" si="1"/>
        <v>193.73418696339468</v>
      </c>
      <c r="I3" s="182">
        <f t="shared" si="2"/>
        <v>550.61322130395547</v>
      </c>
      <c r="J3" s="184">
        <f t="shared" si="3"/>
        <v>550.61322130395547</v>
      </c>
      <c r="K3" s="182">
        <f>CTC!Q3</f>
        <v>6148.8063160818738</v>
      </c>
      <c r="L3" s="182">
        <f>CTC!R3</f>
        <v>6476.0632765615228</v>
      </c>
      <c r="M3" s="182">
        <f>CTC!Q3-SummaryQuantCTC!C3</f>
        <v>48.806316081873774</v>
      </c>
      <c r="N3" s="182">
        <f>CTC!R3-SummaryQuantCTC!C3</f>
        <v>376.0632765615228</v>
      </c>
      <c r="O3" s="184">
        <f t="shared" si="4"/>
        <v>376.0632765615228</v>
      </c>
      <c r="P3" s="167" t="str">
        <f t="shared" si="5"/>
        <v>YES</v>
      </c>
      <c r="S3" s="163"/>
      <c r="T3" s="163"/>
    </row>
    <row r="4" spans="1:20" x14ac:dyDescent="0.3">
      <c r="A4" s="64" t="s">
        <v>104</v>
      </c>
      <c r="B4" s="62" t="s">
        <v>73</v>
      </c>
      <c r="C4" s="67">
        <f>CTC!G4</f>
        <v>400</v>
      </c>
      <c r="D4" s="68">
        <f>CTC!H4</f>
        <v>348.38168118270744</v>
      </c>
      <c r="E4" s="69">
        <f t="shared" si="0"/>
        <v>51.618318817292561</v>
      </c>
      <c r="F4" s="70">
        <f>CTC!M4</f>
        <v>331.73457867407848</v>
      </c>
      <c r="G4" s="70">
        <f>CTC!N4</f>
        <v>380.129597311098</v>
      </c>
      <c r="H4" s="68">
        <f t="shared" si="1"/>
        <v>-68.265421325921523</v>
      </c>
      <c r="I4" s="68">
        <f t="shared" si="2"/>
        <v>-19.870402688902004</v>
      </c>
      <c r="J4" s="69">
        <f t="shared" si="3"/>
        <v>68.265421325921523</v>
      </c>
      <c r="K4" s="70">
        <f>CTC!Q4</f>
        <v>296.72118959107809</v>
      </c>
      <c r="L4" s="70">
        <f>CTC!R4</f>
        <v>372.88104089219331</v>
      </c>
      <c r="M4" s="71">
        <f>CTC!Q4-SummaryQuantCTC!C4</f>
        <v>-103.27881040892191</v>
      </c>
      <c r="N4" s="71">
        <f>CTC!R4-SummaryQuantCTC!C4</f>
        <v>-27.118959107806688</v>
      </c>
      <c r="O4" s="69">
        <f t="shared" si="4"/>
        <v>103.27881040892191</v>
      </c>
      <c r="P4" s="72" t="str">
        <f t="shared" si="5"/>
        <v>YES</v>
      </c>
    </row>
    <row r="5" spans="1:20" x14ac:dyDescent="0.3">
      <c r="A5" s="101"/>
      <c r="B5" s="102" t="s">
        <v>74</v>
      </c>
      <c r="C5" s="103">
        <f>CTC!G5</f>
        <v>1075</v>
      </c>
      <c r="D5" s="104">
        <f>CTC!H5</f>
        <v>1016.6670615880828</v>
      </c>
      <c r="E5" s="105">
        <f t="shared" si="0"/>
        <v>58.332938411917212</v>
      </c>
      <c r="F5" s="106">
        <f>CTC!M5</f>
        <v>926.17902311852311</v>
      </c>
      <c r="G5" s="106">
        <f>CTC!N5</f>
        <v>1002.1191261069092</v>
      </c>
      <c r="H5" s="104">
        <f t="shared" si="1"/>
        <v>-148.82097688147689</v>
      </c>
      <c r="I5" s="104">
        <f t="shared" si="2"/>
        <v>-72.880873893090779</v>
      </c>
      <c r="J5" s="105">
        <f t="shared" si="3"/>
        <v>148.82097688147689</v>
      </c>
      <c r="K5" s="106">
        <f>CTC!Q5</f>
        <v>929.06319702602218</v>
      </c>
      <c r="L5" s="106">
        <f>CTC!R5</f>
        <v>1047.8810408921934</v>
      </c>
      <c r="M5" s="107">
        <f>CTC!Q5-SummaryQuantCTC!C5</f>
        <v>-145.93680297397782</v>
      </c>
      <c r="N5" s="107">
        <f>CTC!R5-SummaryQuantCTC!C5</f>
        <v>-27.118959107806631</v>
      </c>
      <c r="O5" s="105">
        <f t="shared" si="4"/>
        <v>145.93680297397782</v>
      </c>
      <c r="P5" s="108" t="str">
        <f t="shared" si="5"/>
        <v>YES</v>
      </c>
    </row>
    <row r="6" spans="1:20" x14ac:dyDescent="0.3">
      <c r="A6" s="109" t="s">
        <v>11</v>
      </c>
      <c r="B6" s="110" t="s">
        <v>73</v>
      </c>
      <c r="C6" s="111">
        <f>CTC!G6</f>
        <v>675</v>
      </c>
      <c r="D6" s="112">
        <f>CTC!H6</f>
        <v>696.91265112850965</v>
      </c>
      <c r="E6" s="113">
        <f t="shared" si="0"/>
        <v>21.912651128509651</v>
      </c>
      <c r="F6" s="114">
        <f>CTC!M6</f>
        <v>611.94926763022568</v>
      </c>
      <c r="G6" s="114">
        <f>CTC!N6</f>
        <v>725.67028809777935</v>
      </c>
      <c r="H6" s="112">
        <f t="shared" si="1"/>
        <v>-63.050732369774323</v>
      </c>
      <c r="I6" s="112">
        <f t="shared" si="2"/>
        <v>50.670288097779348</v>
      </c>
      <c r="J6" s="113">
        <f t="shared" si="3"/>
        <v>63.050732369774323</v>
      </c>
      <c r="K6" s="114">
        <f>CTC!Q6</f>
        <v>467.7000000000001</v>
      </c>
      <c r="L6" s="114">
        <f>CTC!R6</f>
        <v>675.16704980842894</v>
      </c>
      <c r="M6" s="115">
        <f>CTC!Q6-SummaryQuantCTC!C6</f>
        <v>-207.2999999999999</v>
      </c>
      <c r="N6" s="115">
        <f>CTC!R6-SummaryQuantCTC!C6</f>
        <v>0.16704980842894201</v>
      </c>
      <c r="O6" s="113">
        <f t="shared" si="4"/>
        <v>207.2999999999999</v>
      </c>
      <c r="P6" s="116" t="str">
        <f t="shared" si="5"/>
        <v>YES</v>
      </c>
    </row>
    <row r="7" spans="1:20" x14ac:dyDescent="0.3">
      <c r="A7" s="101"/>
      <c r="B7" s="102" t="s">
        <v>74</v>
      </c>
      <c r="C7" s="117">
        <f>CTC!G7</f>
        <v>1500</v>
      </c>
      <c r="D7" s="104">
        <f>CTC!H7</f>
        <v>1367.118318817636</v>
      </c>
      <c r="E7" s="105">
        <f t="shared" si="0"/>
        <v>132.88168118236399</v>
      </c>
      <c r="F7" s="106">
        <f>CTC!M7</f>
        <v>1100.1149481035984</v>
      </c>
      <c r="G7" s="106">
        <f>CTC!N7</f>
        <v>1266.6538946551564</v>
      </c>
      <c r="H7" s="104">
        <f t="shared" si="1"/>
        <v>-399.88505189640159</v>
      </c>
      <c r="I7" s="104">
        <f t="shared" si="2"/>
        <v>-233.34610534484364</v>
      </c>
      <c r="J7" s="105">
        <f t="shared" si="3"/>
        <v>399.88505189640159</v>
      </c>
      <c r="K7" s="106">
        <f>CTC!Q7</f>
        <v>1191.866666666667</v>
      </c>
      <c r="L7" s="106">
        <f>CTC!R7</f>
        <v>1494.4773946360151</v>
      </c>
      <c r="M7" s="107">
        <f>CTC!Q7-SummaryQuantCTC!C7</f>
        <v>-308.13333333333298</v>
      </c>
      <c r="N7" s="107">
        <f>CTC!R7-SummaryQuantCTC!C7</f>
        <v>-5.5226053639848942</v>
      </c>
      <c r="O7" s="105">
        <f t="shared" si="4"/>
        <v>308.13333333333298</v>
      </c>
      <c r="P7" s="108" t="str">
        <f t="shared" si="5"/>
        <v>YES</v>
      </c>
    </row>
    <row r="8" spans="1:20" ht="18" customHeight="1" x14ac:dyDescent="0.3">
      <c r="A8" s="118" t="s">
        <v>13</v>
      </c>
      <c r="B8" s="119" t="s">
        <v>82</v>
      </c>
      <c r="C8" s="120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122"/>
    </row>
    <row r="9" spans="1:20" ht="10.199999999999999" customHeight="1" x14ac:dyDescent="0.3">
      <c r="A9" s="123"/>
      <c r="B9" s="124" t="s">
        <v>103</v>
      </c>
      <c r="C9" s="125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7"/>
    </row>
    <row r="10" spans="1:20" x14ac:dyDescent="0.3">
      <c r="A10" s="118" t="s">
        <v>14</v>
      </c>
      <c r="B10" s="110" t="s">
        <v>73</v>
      </c>
      <c r="C10" s="128">
        <f>CTC!G10</f>
        <v>1000</v>
      </c>
      <c r="D10" s="112">
        <f>CTC!H10</f>
        <v>972.39059536881211</v>
      </c>
      <c r="E10" s="113">
        <f>ABS(D10-C10)</f>
        <v>27.609404631187886</v>
      </c>
      <c r="F10" s="114">
        <f>CTC!M10</f>
        <v>891.08379706327889</v>
      </c>
      <c r="G10" s="114">
        <f>CTC!N10</f>
        <v>1042.290330345638</v>
      </c>
      <c r="H10" s="112">
        <f>F10-C10</f>
        <v>-108.91620293672111</v>
      </c>
      <c r="I10" s="112">
        <f>G10-C10</f>
        <v>42.29033034563804</v>
      </c>
      <c r="J10" s="113">
        <f>MAX(ABS(H10),ABS(I10))</f>
        <v>108.91620293672111</v>
      </c>
      <c r="K10" s="114">
        <f>CTC!Q10</f>
        <v>709.09028602759702</v>
      </c>
      <c r="L10" s="114">
        <f>CTC!R10</f>
        <v>963.87721602850979</v>
      </c>
      <c r="M10" s="115">
        <f>CTC!Q10-SummaryQuantCTC!C10</f>
        <v>-290.90971397240298</v>
      </c>
      <c r="N10" s="115">
        <f>CTC!R10-SummaryQuantCTC!C10</f>
        <v>-36.122783971490207</v>
      </c>
      <c r="O10" s="113">
        <f>MAX(ABS(M10),ABS(N10))</f>
        <v>290.90971397240298</v>
      </c>
      <c r="P10" s="116" t="str">
        <f>IF(OR(E10&lt;J10,E10&lt;O10),"YES","NO")</f>
        <v>YES</v>
      </c>
    </row>
    <row r="11" spans="1:20" x14ac:dyDescent="0.3">
      <c r="A11" s="123"/>
      <c r="B11" s="102" t="s">
        <v>74</v>
      </c>
      <c r="C11" s="103">
        <f>CTC!G11</f>
        <v>2600</v>
      </c>
      <c r="D11" s="104">
        <f>CTC!H11</f>
        <v>2423.6341475653403</v>
      </c>
      <c r="E11" s="105">
        <f>ABS(D11-C11)</f>
        <v>176.3658524346597</v>
      </c>
      <c r="F11" s="106">
        <f>CTC!M11</f>
        <v>2063.2118573269317</v>
      </c>
      <c r="G11" s="106">
        <f>CTC!N11</f>
        <v>2296.4256686915019</v>
      </c>
      <c r="H11" s="104">
        <f>F11-C11</f>
        <v>-536.78814267306825</v>
      </c>
      <c r="I11" s="104">
        <f>G11-C11</f>
        <v>-303.57433130849813</v>
      </c>
      <c r="J11" s="105">
        <f>MAX(ABS(H11),ABS(I11))</f>
        <v>536.78814267306825</v>
      </c>
      <c r="K11" s="106">
        <f>CTC!Q11</f>
        <v>2173.6064150598545</v>
      </c>
      <c r="L11" s="106">
        <f>CTC!R11</f>
        <v>2568.40979393219</v>
      </c>
      <c r="M11" s="107">
        <f>CTC!Q11-SummaryQuantCTC!C11</f>
        <v>-426.3935849401455</v>
      </c>
      <c r="N11" s="107">
        <f>CTC!R11-SummaryQuantCTC!C11</f>
        <v>-31.590206067809959</v>
      </c>
      <c r="O11" s="105">
        <f>MAX(ABS(M11),ABS(N11))</f>
        <v>426.3935849401455</v>
      </c>
      <c r="P11" s="108" t="str">
        <f>IF(OR(E11&lt;J11,E11&lt;O11),"YES","NO")</f>
        <v>YES</v>
      </c>
    </row>
    <row r="12" spans="1:20" ht="14.4" customHeight="1" x14ac:dyDescent="0.3">
      <c r="A12" s="118" t="s">
        <v>15</v>
      </c>
      <c r="B12" s="119" t="s">
        <v>82</v>
      </c>
      <c r="C12" s="120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2"/>
    </row>
    <row r="13" spans="1:20" ht="13.2" customHeight="1" x14ac:dyDescent="0.3">
      <c r="A13" s="123"/>
      <c r="B13" s="124" t="s">
        <v>103</v>
      </c>
      <c r="C13" s="125"/>
      <c r="D13" s="126"/>
      <c r="E13" s="126"/>
      <c r="F13" s="126"/>
      <c r="G13" s="126"/>
      <c r="H13" s="126"/>
      <c r="I13" s="126"/>
      <c r="J13" s="126"/>
      <c r="K13" s="126"/>
      <c r="L13" s="126"/>
      <c r="M13" s="126"/>
      <c r="N13" s="126"/>
      <c r="O13" s="126"/>
      <c r="P13" s="127"/>
    </row>
    <row r="14" spans="1:20" x14ac:dyDescent="0.3">
      <c r="A14" s="118" t="s">
        <v>16</v>
      </c>
      <c r="B14" s="110" t="s">
        <v>73</v>
      </c>
      <c r="C14" s="128">
        <f>CTC!G14</f>
        <v>10</v>
      </c>
      <c r="D14" s="112">
        <f>CTC!H14</f>
        <v>12.735657447491171</v>
      </c>
      <c r="E14" s="113">
        <f t="shared" ref="E14:E25" si="6">ABS(D14-C14)</f>
        <v>2.735657447491171</v>
      </c>
      <c r="F14" s="114">
        <f>CTC!M14</f>
        <v>4.7710739614994999</v>
      </c>
      <c r="G14" s="114">
        <f>CTC!N14</f>
        <v>13.647011144883491</v>
      </c>
      <c r="H14" s="112">
        <f t="shared" ref="H14:H25" si="7">F14-C14</f>
        <v>-5.2289260385005001</v>
      </c>
      <c r="I14" s="112">
        <f t="shared" ref="I14:I25" si="8">G14-C14</f>
        <v>3.647011144883491</v>
      </c>
      <c r="J14" s="113">
        <f t="shared" ref="J14:J25" si="9">MAX(ABS(H14),ABS(I14))</f>
        <v>5.2289260385005001</v>
      </c>
      <c r="K14" s="114">
        <f>CTC!Q14</f>
        <v>17.154545454545492</v>
      </c>
      <c r="L14" s="114">
        <f>CTC!R14</f>
        <v>37.3272727272727</v>
      </c>
      <c r="M14" s="115">
        <f>CTC!Q14-SummaryQuantCTC!C14</f>
        <v>7.1545454545454916</v>
      </c>
      <c r="N14" s="115">
        <f>CTC!R14-SummaryQuantCTC!C14</f>
        <v>27.3272727272727</v>
      </c>
      <c r="O14" s="113">
        <f t="shared" ref="O14:O25" si="10">MAX(ABS(M14),ABS(N14))</f>
        <v>27.3272727272727</v>
      </c>
      <c r="P14" s="116" t="str">
        <f t="shared" ref="P14:P25" si="11">IF(OR(E14&lt;J14,E14&lt;O14),"YES","NO")</f>
        <v>YES</v>
      </c>
    </row>
    <row r="15" spans="1:20" x14ac:dyDescent="0.3">
      <c r="A15" s="123"/>
      <c r="B15" s="102" t="s">
        <v>74</v>
      </c>
      <c r="C15" s="103">
        <f>CTC!G15</f>
        <v>45</v>
      </c>
      <c r="D15" s="104">
        <f>CTC!H15</f>
        <v>45.490372306553446</v>
      </c>
      <c r="E15" s="105">
        <f t="shared" si="6"/>
        <v>0.49037230655344644</v>
      </c>
      <c r="F15" s="106">
        <f>CTC!M15</f>
        <v>27.111499493414374</v>
      </c>
      <c r="G15" s="106">
        <f>CTC!N15</f>
        <v>47.81367781155015</v>
      </c>
      <c r="H15" s="104">
        <f t="shared" si="7"/>
        <v>-17.888500506585626</v>
      </c>
      <c r="I15" s="104">
        <f t="shared" si="8"/>
        <v>2.81367781155015</v>
      </c>
      <c r="J15" s="105">
        <f t="shared" si="9"/>
        <v>17.888500506585626</v>
      </c>
      <c r="K15" s="106">
        <f>CTC!Q15</f>
        <v>34.654545454545456</v>
      </c>
      <c r="L15" s="106">
        <f>CTC!R15</f>
        <v>81.872727272727161</v>
      </c>
      <c r="M15" s="107">
        <f>CTC!Q15-SummaryQuantCTC!C15</f>
        <v>-10.345454545454544</v>
      </c>
      <c r="N15" s="107">
        <f>CTC!R15-SummaryQuantCTC!C15</f>
        <v>36.872727272727161</v>
      </c>
      <c r="O15" s="105">
        <f t="shared" si="10"/>
        <v>36.872727272727161</v>
      </c>
      <c r="P15" s="108" t="str">
        <f t="shared" si="11"/>
        <v>YES</v>
      </c>
    </row>
    <row r="16" spans="1:20" x14ac:dyDescent="0.3">
      <c r="A16" s="118" t="s">
        <v>18</v>
      </c>
      <c r="B16" s="110" t="s">
        <v>73</v>
      </c>
      <c r="C16" s="128">
        <f>CTC!G16</f>
        <v>2</v>
      </c>
      <c r="D16" s="112">
        <f>CTC!H16</f>
        <v>3.8675501345261898</v>
      </c>
      <c r="E16" s="113">
        <f t="shared" si="6"/>
        <v>1.8675501345261898</v>
      </c>
      <c r="F16" s="114">
        <f>CTC!M16</f>
        <v>1.4048387096774202</v>
      </c>
      <c r="G16" s="114">
        <f>CTC!N16</f>
        <v>3.5845161290322598</v>
      </c>
      <c r="H16" s="112">
        <f t="shared" si="7"/>
        <v>-0.59516129032257981</v>
      </c>
      <c r="I16" s="112">
        <f t="shared" si="8"/>
        <v>1.5845161290322598</v>
      </c>
      <c r="J16" s="113">
        <f t="shared" si="9"/>
        <v>1.5845161290322598</v>
      </c>
      <c r="K16" s="114">
        <f>CTC!Q16</f>
        <v>1.7932330827067626</v>
      </c>
      <c r="L16" s="114">
        <f>CTC!R16</f>
        <v>7.7932330827067702</v>
      </c>
      <c r="M16" s="115">
        <f>CTC!Q16-SummaryQuantCTC!C16</f>
        <v>-0.20676691729323737</v>
      </c>
      <c r="N16" s="115">
        <f>CTC!R16-SummaryQuantCTC!C16</f>
        <v>5.7932330827067702</v>
      </c>
      <c r="O16" s="113">
        <f t="shared" si="10"/>
        <v>5.7932330827067702</v>
      </c>
      <c r="P16" s="116" t="str">
        <f t="shared" si="11"/>
        <v>YES</v>
      </c>
    </row>
    <row r="17" spans="1:16" x14ac:dyDescent="0.3">
      <c r="A17" s="123"/>
      <c r="B17" s="102" t="s">
        <v>74</v>
      </c>
      <c r="C17" s="103">
        <f>CTC!G17</f>
        <v>15</v>
      </c>
      <c r="D17" s="104">
        <f>CTC!H17</f>
        <v>19.670868043214888</v>
      </c>
      <c r="E17" s="105">
        <f t="shared" si="6"/>
        <v>4.6708680432148881</v>
      </c>
      <c r="F17" s="106">
        <f>CTC!M17</f>
        <v>10.179838709677419</v>
      </c>
      <c r="G17" s="106">
        <f>CTC!N17</f>
        <v>17.00387096774195</v>
      </c>
      <c r="H17" s="104">
        <f t="shared" si="7"/>
        <v>-4.8201612903225808</v>
      </c>
      <c r="I17" s="104">
        <f t="shared" si="8"/>
        <v>2.0038709677419497</v>
      </c>
      <c r="J17" s="105">
        <f t="shared" si="9"/>
        <v>4.8201612903225808</v>
      </c>
      <c r="K17" s="106">
        <f>CTC!Q17</f>
        <v>12.936090225563904</v>
      </c>
      <c r="L17" s="106">
        <f>CTC!R17</f>
        <v>31.056390977443662</v>
      </c>
      <c r="M17" s="107">
        <f>CTC!Q17-SummaryQuantCTC!C17</f>
        <v>-2.0639097744360964</v>
      </c>
      <c r="N17" s="107">
        <f>CTC!R17-SummaryQuantCTC!C17</f>
        <v>16.056390977443662</v>
      </c>
      <c r="O17" s="105">
        <f t="shared" si="10"/>
        <v>16.056390977443662</v>
      </c>
      <c r="P17" s="108" t="str">
        <f t="shared" si="11"/>
        <v>YES</v>
      </c>
    </row>
    <row r="18" spans="1:16" x14ac:dyDescent="0.3">
      <c r="A18" s="118" t="s">
        <v>19</v>
      </c>
      <c r="B18" s="110" t="s">
        <v>73</v>
      </c>
      <c r="C18" s="128">
        <f>CTC!G18</f>
        <v>175</v>
      </c>
      <c r="D18" s="112">
        <f>CTC!H18</f>
        <v>153.53783344536495</v>
      </c>
      <c r="E18" s="113">
        <f t="shared" si="6"/>
        <v>21.462166554635047</v>
      </c>
      <c r="F18" s="114">
        <f>CTC!M18</f>
        <v>87.852828238877279</v>
      </c>
      <c r="G18" s="114">
        <f>CTC!N18</f>
        <v>138.5343328861332</v>
      </c>
      <c r="H18" s="112">
        <f t="shared" si="7"/>
        <v>-87.147171761122721</v>
      </c>
      <c r="I18" s="112">
        <f t="shared" si="8"/>
        <v>-36.4656671138668</v>
      </c>
      <c r="J18" s="113">
        <f t="shared" si="9"/>
        <v>87.147171761122721</v>
      </c>
      <c r="K18" s="114">
        <f>CTC!Q18</f>
        <v>244.90431668351516</v>
      </c>
      <c r="L18" s="114">
        <f>CTC!R18</f>
        <v>541.748021808065</v>
      </c>
      <c r="M18" s="115">
        <f>CTC!Q18-SummaryQuantCTC!C18</f>
        <v>69.904316683515162</v>
      </c>
      <c r="N18" s="115">
        <f>CTC!R18-SummaryQuantCTC!C18</f>
        <v>366.748021808065</v>
      </c>
      <c r="O18" s="113">
        <f t="shared" si="10"/>
        <v>366.748021808065</v>
      </c>
      <c r="P18" s="116" t="str">
        <f t="shared" si="11"/>
        <v>YES</v>
      </c>
    </row>
    <row r="19" spans="1:16" x14ac:dyDescent="0.3">
      <c r="A19" s="123"/>
      <c r="B19" s="102" t="s">
        <v>74</v>
      </c>
      <c r="C19" s="103">
        <f>CTC!G19</f>
        <v>600</v>
      </c>
      <c r="D19" s="104">
        <f>CTC!H19</f>
        <v>476.08381907432806</v>
      </c>
      <c r="E19" s="105">
        <f t="shared" si="6"/>
        <v>123.91618092567194</v>
      </c>
      <c r="F19" s="106">
        <f>CTC!M19</f>
        <v>382.80550962688989</v>
      </c>
      <c r="G19" s="106">
        <f>CTC!N19</f>
        <v>479.67417962942835</v>
      </c>
      <c r="H19" s="104">
        <f t="shared" si="7"/>
        <v>-217.19449037311011</v>
      </c>
      <c r="I19" s="104">
        <f t="shared" si="8"/>
        <v>-120.32582037057165</v>
      </c>
      <c r="J19" s="105">
        <f t="shared" si="9"/>
        <v>217.19449037311011</v>
      </c>
      <c r="K19" s="106">
        <f>CTC!Q19</f>
        <v>383.29545348505661</v>
      </c>
      <c r="L19" s="106">
        <f>CTC!R19</f>
        <v>973.10078712944096</v>
      </c>
      <c r="M19" s="107">
        <f>CTC!Q19-SummaryQuantCTC!C19</f>
        <v>-216.70454651494339</v>
      </c>
      <c r="N19" s="107">
        <f>CTC!R19-SummaryQuantCTC!C19</f>
        <v>373.10078712944096</v>
      </c>
      <c r="O19" s="105">
        <f t="shared" si="10"/>
        <v>373.10078712944096</v>
      </c>
      <c r="P19" s="108" t="str">
        <f t="shared" si="11"/>
        <v>YES</v>
      </c>
    </row>
    <row r="20" spans="1:16" x14ac:dyDescent="0.3">
      <c r="A20" s="118" t="s">
        <v>20</v>
      </c>
      <c r="B20" s="110" t="s">
        <v>73</v>
      </c>
      <c r="C20" s="128">
        <f>CTC!G20</f>
        <v>160</v>
      </c>
      <c r="D20" s="112">
        <f>CTC!H20</f>
        <v>165.31169523678568</v>
      </c>
      <c r="E20" s="113">
        <f t="shared" si="6"/>
        <v>5.3116952367856811</v>
      </c>
      <c r="F20" s="114">
        <f>CTC!M20</f>
        <v>133.27667910447772</v>
      </c>
      <c r="G20" s="114">
        <f>CTC!N20</f>
        <v>204.87910447761209</v>
      </c>
      <c r="H20" s="112">
        <f t="shared" si="7"/>
        <v>-26.723320895522278</v>
      </c>
      <c r="I20" s="112">
        <f t="shared" si="8"/>
        <v>44.879104477612088</v>
      </c>
      <c r="J20" s="113">
        <f t="shared" si="9"/>
        <v>44.879104477612088</v>
      </c>
      <c r="K20" s="114">
        <f>CTC!Q20</f>
        <v>-158.10412447874853</v>
      </c>
      <c r="L20" s="114">
        <f>CTC!R20</f>
        <v>352.79956131792494</v>
      </c>
      <c r="M20" s="115">
        <f>CTC!Q20-SummaryQuantCTC!C20</f>
        <v>-318.10412447874853</v>
      </c>
      <c r="N20" s="115">
        <f>CTC!R20-SummaryQuantCTC!C20</f>
        <v>192.79956131792494</v>
      </c>
      <c r="O20" s="113">
        <f t="shared" si="10"/>
        <v>318.10412447874853</v>
      </c>
      <c r="P20" s="116" t="str">
        <f t="shared" si="11"/>
        <v>YES</v>
      </c>
    </row>
    <row r="21" spans="1:16" x14ac:dyDescent="0.3">
      <c r="A21" s="123"/>
      <c r="B21" s="102" t="s">
        <v>74</v>
      </c>
      <c r="C21" s="103">
        <f>CTC!G21</f>
        <v>350</v>
      </c>
      <c r="D21" s="104">
        <f>CTC!H21</f>
        <v>345.13385939151783</v>
      </c>
      <c r="E21" s="105">
        <f t="shared" si="6"/>
        <v>4.8661406084821692</v>
      </c>
      <c r="F21" s="106">
        <f>CTC!M21</f>
        <v>260.3214552238806</v>
      </c>
      <c r="G21" s="106">
        <f>CTC!N21</f>
        <v>365.45746268656723</v>
      </c>
      <c r="H21" s="104">
        <f t="shared" si="7"/>
        <v>-89.678544776119395</v>
      </c>
      <c r="I21" s="104">
        <f t="shared" si="8"/>
        <v>15.457462686567226</v>
      </c>
      <c r="J21" s="105">
        <f t="shared" si="9"/>
        <v>89.678544776119395</v>
      </c>
      <c r="K21" s="106">
        <f>CTC!Q21</f>
        <v>-41.05904935353982</v>
      </c>
      <c r="L21" s="106">
        <f>CTC!R21</f>
        <v>699.07661759498069</v>
      </c>
      <c r="M21" s="107">
        <f>CTC!Q21-SummaryQuantCTC!C21</f>
        <v>-391.05904935353982</v>
      </c>
      <c r="N21" s="107">
        <f>CTC!R21-SummaryQuantCTC!C21</f>
        <v>349.07661759498069</v>
      </c>
      <c r="O21" s="105">
        <f t="shared" si="10"/>
        <v>391.05904935353982</v>
      </c>
      <c r="P21" s="108" t="str">
        <f t="shared" si="11"/>
        <v>YES</v>
      </c>
    </row>
    <row r="22" spans="1:16" x14ac:dyDescent="0.3">
      <c r="A22" s="118" t="s">
        <v>22</v>
      </c>
      <c r="B22" s="110" t="s">
        <v>73</v>
      </c>
      <c r="C22" s="128">
        <f>CTC!G22</f>
        <v>0.32</v>
      </c>
      <c r="D22" s="115">
        <f>CTC!H22</f>
        <v>0.32717404453588722</v>
      </c>
      <c r="E22" s="129">
        <f t="shared" si="6"/>
        <v>7.174044535887214E-3</v>
      </c>
      <c r="F22" s="130">
        <f>CTC!M22</f>
        <v>0.2824717668488152</v>
      </c>
      <c r="G22" s="130">
        <f>CTC!N22</f>
        <v>0.62192750455373436</v>
      </c>
      <c r="H22" s="115">
        <f t="shared" si="7"/>
        <v>-3.7528233151184809E-2</v>
      </c>
      <c r="I22" s="115">
        <f t="shared" si="8"/>
        <v>0.30192750455373435</v>
      </c>
      <c r="J22" s="129">
        <f t="shared" si="9"/>
        <v>0.30192750455373435</v>
      </c>
      <c r="K22" s="130">
        <f>CTC!Q22</f>
        <v>-0.34345454545454529</v>
      </c>
      <c r="L22" s="130">
        <f>CTC!R22</f>
        <v>0.51575757575757464</v>
      </c>
      <c r="M22" s="115">
        <f>CTC!Q22-SummaryQuantCTC!C22</f>
        <v>-0.6634545454545453</v>
      </c>
      <c r="N22" s="115">
        <f>CTC!R22-SummaryQuantCTC!C22</f>
        <v>0.19575757575757463</v>
      </c>
      <c r="O22" s="129">
        <f t="shared" si="10"/>
        <v>0.6634545454545453</v>
      </c>
      <c r="P22" s="116" t="str">
        <f t="shared" si="11"/>
        <v>YES</v>
      </c>
    </row>
    <row r="23" spans="1:16" x14ac:dyDescent="0.3">
      <c r="A23" s="123"/>
      <c r="B23" s="102" t="s">
        <v>74</v>
      </c>
      <c r="C23" s="103">
        <f>CTC!G23</f>
        <v>0.9</v>
      </c>
      <c r="D23" s="107">
        <f>CTC!H23</f>
        <v>0.8604661626436888</v>
      </c>
      <c r="E23" s="131">
        <f t="shared" si="6"/>
        <v>3.9533837356311219E-2</v>
      </c>
      <c r="F23" s="132">
        <f>CTC!M23</f>
        <v>0.64336065573770451</v>
      </c>
      <c r="G23" s="132">
        <f>CTC!N23</f>
        <v>1.1638947176684893</v>
      </c>
      <c r="H23" s="107">
        <f t="shared" si="7"/>
        <v>-0.25663934426229551</v>
      </c>
      <c r="I23" s="107">
        <f t="shared" si="8"/>
        <v>0.26389471766848926</v>
      </c>
      <c r="J23" s="131">
        <f t="shared" si="9"/>
        <v>0.26389471766848926</v>
      </c>
      <c r="K23" s="132">
        <f>CTC!Q23</f>
        <v>-2.709090909090861E-2</v>
      </c>
      <c r="L23" s="132">
        <f>CTC!R23</f>
        <v>1.2890909090909062</v>
      </c>
      <c r="M23" s="107">
        <f>CTC!Q23-SummaryQuantCTC!C23</f>
        <v>-0.92709090909090863</v>
      </c>
      <c r="N23" s="107">
        <f>CTC!R23-SummaryQuantCTC!C23</f>
        <v>0.38909090909090616</v>
      </c>
      <c r="O23" s="131">
        <f t="shared" si="10"/>
        <v>0.92709090909090863</v>
      </c>
      <c r="P23" s="108" t="str">
        <f t="shared" si="11"/>
        <v>YES</v>
      </c>
    </row>
    <row r="24" spans="1:16" x14ac:dyDescent="0.3">
      <c r="A24" s="65" t="s">
        <v>21</v>
      </c>
      <c r="B24" s="62" t="s">
        <v>73</v>
      </c>
      <c r="C24" s="88">
        <f>CTC!G24</f>
        <v>0.5</v>
      </c>
      <c r="D24" s="71">
        <f>CTC!H24</f>
        <v>0.42614319627493291</v>
      </c>
      <c r="E24" s="84">
        <f t="shared" si="6"/>
        <v>7.3856803725067088E-2</v>
      </c>
      <c r="F24" s="85">
        <f>CTC!M24</f>
        <v>0.25924571428571391</v>
      </c>
      <c r="G24" s="85">
        <f>CTC!N24</f>
        <v>0.79782142857142901</v>
      </c>
      <c r="H24" s="71">
        <f t="shared" si="7"/>
        <v>-0.24075428571428609</v>
      </c>
      <c r="I24" s="71">
        <f t="shared" si="8"/>
        <v>0.29782142857142901</v>
      </c>
      <c r="J24" s="84">
        <f t="shared" si="9"/>
        <v>0.29782142857142901</v>
      </c>
      <c r="K24" s="85">
        <f>CTC!Q24</f>
        <v>-0.34783591508892497</v>
      </c>
      <c r="L24" s="85">
        <f>CTC!R24</f>
        <v>0.84716179001721248</v>
      </c>
      <c r="M24" s="71">
        <f>CTC!Q24-SummaryQuantCTC!C24</f>
        <v>-0.84783591508892497</v>
      </c>
      <c r="N24" s="71">
        <f>CTC!R24-SummaryQuantCTC!C24</f>
        <v>0.34716179001721248</v>
      </c>
      <c r="O24" s="84">
        <f t="shared" si="10"/>
        <v>0.84783591508892497</v>
      </c>
      <c r="P24" s="72" t="str">
        <f t="shared" si="11"/>
        <v>YES</v>
      </c>
    </row>
    <row r="25" spans="1:16" ht="15" thickBot="1" x14ac:dyDescent="0.35">
      <c r="A25" s="66"/>
      <c r="B25" s="73" t="s">
        <v>74</v>
      </c>
      <c r="C25" s="74">
        <f>CTC!G25</f>
        <v>0.99</v>
      </c>
      <c r="D25" s="75">
        <f>CTC!H25</f>
        <v>0.94146141544074524</v>
      </c>
      <c r="E25" s="86">
        <f t="shared" si="6"/>
        <v>4.8538584559254749E-2</v>
      </c>
      <c r="F25" s="87">
        <f>CTC!M25</f>
        <v>0.59174571428571365</v>
      </c>
      <c r="G25" s="87">
        <f>CTC!N25</f>
        <v>1.3270214285714292</v>
      </c>
      <c r="H25" s="75">
        <f t="shared" si="7"/>
        <v>-0.39825428571428634</v>
      </c>
      <c r="I25" s="75">
        <f t="shared" si="8"/>
        <v>0.33702142857142925</v>
      </c>
      <c r="J25" s="86">
        <f t="shared" si="9"/>
        <v>0.39825428571428634</v>
      </c>
      <c r="K25" s="87">
        <f>CTC!Q25</f>
        <v>9.5497418244408938E-2</v>
      </c>
      <c r="L25" s="87">
        <f>CTC!R25</f>
        <v>1.7268003442340816</v>
      </c>
      <c r="M25" s="75">
        <f>CTC!Q25-SummaryQuantCTC!C25</f>
        <v>-0.89450258175559105</v>
      </c>
      <c r="N25" s="75">
        <f>CTC!R25-SummaryQuantCTC!C25</f>
        <v>0.73680034423408158</v>
      </c>
      <c r="O25" s="86">
        <f t="shared" si="10"/>
        <v>0.89450258175559105</v>
      </c>
      <c r="P25" s="76" t="str">
        <f t="shared" si="11"/>
        <v>YES</v>
      </c>
    </row>
    <row r="26" spans="1:16" ht="60.6" customHeight="1" thickBot="1" x14ac:dyDescent="0.35">
      <c r="A26" s="77" t="s">
        <v>93</v>
      </c>
      <c r="B26" s="78" t="s">
        <v>97</v>
      </c>
      <c r="C26" s="78" t="s">
        <v>158</v>
      </c>
      <c r="D26" s="78" t="s">
        <v>99</v>
      </c>
      <c r="E26" s="78" t="s">
        <v>75</v>
      </c>
      <c r="F26" s="89" t="s">
        <v>83</v>
      </c>
      <c r="G26" s="89" t="s">
        <v>84</v>
      </c>
      <c r="H26" s="90" t="s">
        <v>96</v>
      </c>
      <c r="I26" s="90" t="s">
        <v>98</v>
      </c>
      <c r="J26" s="89" t="s">
        <v>85</v>
      </c>
      <c r="K26" s="81" t="s">
        <v>86</v>
      </c>
      <c r="L26" s="81" t="s">
        <v>87</v>
      </c>
      <c r="M26" s="82" t="s">
        <v>96</v>
      </c>
      <c r="N26" s="82" t="s">
        <v>98</v>
      </c>
      <c r="O26" s="81" t="s">
        <v>79</v>
      </c>
      <c r="P26" s="83" t="s">
        <v>102</v>
      </c>
    </row>
    <row r="27" spans="1:16" ht="15" thickTop="1" x14ac:dyDescent="0.3">
      <c r="A27" s="164" t="s">
        <v>142</v>
      </c>
      <c r="B27" s="100" t="s">
        <v>73</v>
      </c>
      <c r="C27" s="185">
        <f>CTC!G27</f>
        <v>2000</v>
      </c>
      <c r="D27" s="179">
        <f>CTC!H27</f>
        <v>2019.6044289996898</v>
      </c>
      <c r="E27" s="183">
        <f t="shared" ref="E27:E32" si="12">ABS(D27-C27)</f>
        <v>19.604428999689844</v>
      </c>
      <c r="F27" s="180">
        <f>CTC!M27</f>
        <v>1900.0784567581559</v>
      </c>
      <c r="G27" s="180">
        <f>CTC!N27</f>
        <v>2079.2426696012431</v>
      </c>
      <c r="H27" s="180">
        <f t="shared" ref="H27:H32" si="13">F27-C27</f>
        <v>-99.92154324184412</v>
      </c>
      <c r="I27" s="180">
        <f t="shared" ref="I27:I32" si="14">G27-C27</f>
        <v>79.242669601243051</v>
      </c>
      <c r="J27" s="183">
        <f t="shared" ref="J27:J32" si="15">MAX(ABS(H27),ABS(I27))</f>
        <v>99.92154324184412</v>
      </c>
      <c r="K27" s="180">
        <f>CTC!Q27</f>
        <v>1992.2231959026024</v>
      </c>
      <c r="L27" s="180">
        <f>CTC!R27</f>
        <v>2031.8096785720361</v>
      </c>
      <c r="M27" s="180">
        <f>CTC!Q27-SummaryQuantCTC!C27</f>
        <v>-7.776804097397644</v>
      </c>
      <c r="N27" s="180">
        <f>CTC!R27-SummaryQuantCTC!C27</f>
        <v>31.809678572036091</v>
      </c>
      <c r="O27" s="183">
        <f t="shared" ref="O27:O32" si="16">MAX(ABS(M27),ABS(N27))</f>
        <v>31.809678572036091</v>
      </c>
      <c r="P27" s="166" t="str">
        <f t="shared" ref="P27:P32" si="17">IF(OR(E27&lt;J27,E27&lt;O27),"YES","NO")</f>
        <v>YES</v>
      </c>
    </row>
    <row r="28" spans="1:16" x14ac:dyDescent="0.3">
      <c r="A28" s="165"/>
      <c r="B28" s="134" t="s">
        <v>74</v>
      </c>
      <c r="C28" s="189">
        <f>CTC!G28</f>
        <v>6100</v>
      </c>
      <c r="D28" s="188">
        <f>CTC!H28</f>
        <v>5999.0523516490093</v>
      </c>
      <c r="E28" s="190">
        <f t="shared" si="12"/>
        <v>100.94764835099068</v>
      </c>
      <c r="F28" s="187">
        <f>CTC!M28</f>
        <v>5605.4534567581559</v>
      </c>
      <c r="G28" s="187">
        <f>CTC!N28</f>
        <v>5911.7128922837928</v>
      </c>
      <c r="H28" s="187">
        <f t="shared" si="13"/>
        <v>-494.54654324184412</v>
      </c>
      <c r="I28" s="187">
        <f t="shared" si="14"/>
        <v>-188.28710771620717</v>
      </c>
      <c r="J28" s="190">
        <f t="shared" si="15"/>
        <v>494.54654324184412</v>
      </c>
      <c r="K28" s="187">
        <f>CTC!Q28</f>
        <v>5911.3408429614274</v>
      </c>
      <c r="L28" s="187">
        <f>CTC!R28</f>
        <v>5975.2577549388307</v>
      </c>
      <c r="M28" s="187">
        <f>CTC!Q28-SummaryQuantCTC!C28</f>
        <v>-188.65915703857263</v>
      </c>
      <c r="N28" s="187">
        <f>CTC!R28-SummaryQuantCTC!C28</f>
        <v>-124.74224506116934</v>
      </c>
      <c r="O28" s="190">
        <f t="shared" si="16"/>
        <v>188.65915703857263</v>
      </c>
      <c r="P28" s="169" t="str">
        <f t="shared" si="17"/>
        <v>YES</v>
      </c>
    </row>
    <row r="29" spans="1:16" x14ac:dyDescent="0.3">
      <c r="A29" s="64" t="s">
        <v>104</v>
      </c>
      <c r="B29" s="62" t="s">
        <v>73</v>
      </c>
      <c r="C29" s="67">
        <f>CTC!G29</f>
        <v>400</v>
      </c>
      <c r="D29" s="68">
        <f>CTC!H29</f>
        <v>393.25215888544028</v>
      </c>
      <c r="E29" s="69">
        <f t="shared" si="12"/>
        <v>6.7478411145597192</v>
      </c>
      <c r="F29" s="70">
        <f>CTC!M29</f>
        <v>420.98343245539394</v>
      </c>
      <c r="G29" s="70">
        <f>CTC!N29</f>
        <v>476.48401656754498</v>
      </c>
      <c r="H29" s="68">
        <f t="shared" si="13"/>
        <v>20.983432455393938</v>
      </c>
      <c r="I29" s="68">
        <f t="shared" si="14"/>
        <v>76.484016567544984</v>
      </c>
      <c r="J29" s="69">
        <f t="shared" si="15"/>
        <v>76.484016567544984</v>
      </c>
      <c r="K29" s="70">
        <f>CTC!Q29</f>
        <v>322.96605919003201</v>
      </c>
      <c r="L29" s="70">
        <f>CTC!R29</f>
        <v>435.66978193146417</v>
      </c>
      <c r="M29" s="71">
        <f>CTC!Q29-SummaryQuantCTC!C29</f>
        <v>-77.033940809967987</v>
      </c>
      <c r="N29" s="71">
        <f>CTC!R29-SummaryQuantCTC!C29</f>
        <v>35.669781931464172</v>
      </c>
      <c r="O29" s="69">
        <f t="shared" si="16"/>
        <v>77.033940809967987</v>
      </c>
      <c r="P29" s="72" t="str">
        <f t="shared" si="17"/>
        <v>YES</v>
      </c>
    </row>
    <row r="30" spans="1:16" x14ac:dyDescent="0.3">
      <c r="A30" s="101"/>
      <c r="B30" s="102" t="s">
        <v>74</v>
      </c>
      <c r="C30" s="103">
        <f>CTC!G30</f>
        <v>1075</v>
      </c>
      <c r="D30" s="104">
        <f>CTC!H30</f>
        <v>1138.0526430806945</v>
      </c>
      <c r="E30" s="105">
        <f t="shared" si="12"/>
        <v>63.052643080694452</v>
      </c>
      <c r="F30" s="106">
        <f>CTC!M30</f>
        <v>1153.5118415463012</v>
      </c>
      <c r="G30" s="106">
        <f>CTC!N30</f>
        <v>1242.9559791843683</v>
      </c>
      <c r="H30" s="104">
        <f t="shared" si="13"/>
        <v>78.511841546301184</v>
      </c>
      <c r="I30" s="104">
        <f t="shared" si="14"/>
        <v>167.95597918436829</v>
      </c>
      <c r="J30" s="105">
        <f t="shared" si="15"/>
        <v>167.95597918436829</v>
      </c>
      <c r="K30" s="106">
        <f>CTC!Q30</f>
        <v>1018.9940965732111</v>
      </c>
      <c r="L30" s="106">
        <f>CTC!R30</f>
        <v>1201.7947819314643</v>
      </c>
      <c r="M30" s="107">
        <f>CTC!Q30-SummaryQuantCTC!C30</f>
        <v>-56.005903426788905</v>
      </c>
      <c r="N30" s="107">
        <f>CTC!R30-SummaryQuantCTC!C30</f>
        <v>126.79478193146429</v>
      </c>
      <c r="O30" s="105">
        <f t="shared" si="16"/>
        <v>126.79478193146429</v>
      </c>
      <c r="P30" s="108" t="str">
        <f t="shared" si="17"/>
        <v>YES</v>
      </c>
    </row>
    <row r="31" spans="1:16" x14ac:dyDescent="0.3">
      <c r="A31" s="109" t="s">
        <v>11</v>
      </c>
      <c r="B31" s="110" t="s">
        <v>73</v>
      </c>
      <c r="C31" s="111">
        <f>CTC!G31</f>
        <v>675</v>
      </c>
      <c r="D31" s="112">
        <f>CTC!H31</f>
        <v>708.67177068232081</v>
      </c>
      <c r="E31" s="113">
        <f t="shared" si="12"/>
        <v>33.671770682320812</v>
      </c>
      <c r="F31" s="114">
        <f>CTC!M31</f>
        <v>551.02499999999998</v>
      </c>
      <c r="G31" s="114">
        <f>CTC!N31</f>
        <v>816.625</v>
      </c>
      <c r="H31" s="112">
        <f t="shared" si="13"/>
        <v>-123.97500000000002</v>
      </c>
      <c r="I31" s="112">
        <f t="shared" si="14"/>
        <v>141.625</v>
      </c>
      <c r="J31" s="113">
        <f t="shared" si="15"/>
        <v>141.625</v>
      </c>
      <c r="K31" s="114">
        <f>CTC!Q31</f>
        <v>325.71541324877444</v>
      </c>
      <c r="L31" s="114">
        <f>CTC!R31</f>
        <v>811.7822775211996</v>
      </c>
      <c r="M31" s="115">
        <f>CTC!Q31-SummaryQuantCTC!C31</f>
        <v>-349.28458675122556</v>
      </c>
      <c r="N31" s="115">
        <f>CTC!R31-SummaryQuantCTC!C31</f>
        <v>136.7822775211996</v>
      </c>
      <c r="O31" s="113">
        <f t="shared" si="16"/>
        <v>349.28458675122556</v>
      </c>
      <c r="P31" s="116" t="str">
        <f t="shared" si="17"/>
        <v>YES</v>
      </c>
    </row>
    <row r="32" spans="1:16" x14ac:dyDescent="0.3">
      <c r="A32" s="101"/>
      <c r="B32" s="102" t="s">
        <v>74</v>
      </c>
      <c r="C32" s="117">
        <f>CTC!G32</f>
        <v>1500</v>
      </c>
      <c r="D32" s="104">
        <f>CTC!H32</f>
        <v>1779.3693951733183</v>
      </c>
      <c r="E32" s="105">
        <f t="shared" si="12"/>
        <v>279.36939517331825</v>
      </c>
      <c r="F32" s="106">
        <f>CTC!M32</f>
        <v>1809.15</v>
      </c>
      <c r="G32" s="106">
        <f>CTC!N32</f>
        <v>2210.875</v>
      </c>
      <c r="H32" s="104">
        <f t="shared" si="13"/>
        <v>309.15000000000009</v>
      </c>
      <c r="I32" s="104">
        <f t="shared" si="14"/>
        <v>710.875</v>
      </c>
      <c r="J32" s="105">
        <f t="shared" si="15"/>
        <v>710.875</v>
      </c>
      <c r="K32" s="106">
        <f>CTC!Q32</f>
        <v>1469.580443923619</v>
      </c>
      <c r="L32" s="106">
        <f>CTC!R32</f>
        <v>2206.8665471841241</v>
      </c>
      <c r="M32" s="107">
        <f>CTC!Q32-SummaryQuantCTC!C32</f>
        <v>-30.419556076381014</v>
      </c>
      <c r="N32" s="107">
        <f>CTC!R32-SummaryQuantCTC!C32</f>
        <v>706.8665471841241</v>
      </c>
      <c r="O32" s="105">
        <f t="shared" si="16"/>
        <v>706.8665471841241</v>
      </c>
      <c r="P32" s="108" t="str">
        <f t="shared" si="17"/>
        <v>YES</v>
      </c>
    </row>
    <row r="33" spans="1:16" ht="18" customHeight="1" x14ac:dyDescent="0.3">
      <c r="A33" s="118" t="s">
        <v>13</v>
      </c>
      <c r="B33" s="119" t="s">
        <v>82</v>
      </c>
      <c r="C33" s="120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2"/>
    </row>
    <row r="34" spans="1:16" ht="13.8" customHeight="1" x14ac:dyDescent="0.3">
      <c r="A34" s="123"/>
      <c r="B34" s="124" t="s">
        <v>103</v>
      </c>
      <c r="C34" s="125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7"/>
    </row>
    <row r="35" spans="1:16" x14ac:dyDescent="0.3">
      <c r="A35" s="118" t="s">
        <v>14</v>
      </c>
      <c r="B35" s="110" t="s">
        <v>73</v>
      </c>
      <c r="C35" s="128">
        <f>CTC!G35</f>
        <v>1000</v>
      </c>
      <c r="D35" s="112">
        <f>CTC!H35</f>
        <v>1015.8866586068921</v>
      </c>
      <c r="E35" s="113">
        <f>ABS(D35-C35)</f>
        <v>15.88665860689207</v>
      </c>
      <c r="F35" s="114">
        <f>CTC!M35</f>
        <v>922.97731994352989</v>
      </c>
      <c r="G35" s="114">
        <f>CTC!N35</f>
        <v>1162.8227330731811</v>
      </c>
      <c r="H35" s="112">
        <f>F35-C35</f>
        <v>-77.022680056470108</v>
      </c>
      <c r="I35" s="112">
        <f>G35-C35</f>
        <v>162.8227330731811</v>
      </c>
      <c r="J35" s="113">
        <f>MAX(ABS(H35),ABS(I35))</f>
        <v>162.8227330731811</v>
      </c>
      <c r="K35" s="114">
        <f>CTC!Q35</f>
        <v>611.82469227900208</v>
      </c>
      <c r="L35" s="114">
        <f>CTC!R35</f>
        <v>1126.900037299516</v>
      </c>
      <c r="M35" s="115">
        <f>CTC!Q35-SummaryQuantCTC!C35</f>
        <v>-388.17530772099792</v>
      </c>
      <c r="N35" s="115">
        <f>CTC!R35-SummaryQuantCTC!C35</f>
        <v>126.90003729951604</v>
      </c>
      <c r="O35" s="113">
        <f>MAX(ABS(M35),ABS(N35))</f>
        <v>388.17530772099792</v>
      </c>
      <c r="P35" s="116" t="str">
        <f>IF(OR(E35&lt;J35,E35&lt;O35),"YES","NO")</f>
        <v>YES</v>
      </c>
    </row>
    <row r="36" spans="1:16" x14ac:dyDescent="0.3">
      <c r="A36" s="123"/>
      <c r="B36" s="102" t="s">
        <v>74</v>
      </c>
      <c r="C36" s="103">
        <f>CTC!G36</f>
        <v>2600</v>
      </c>
      <c r="D36" s="104">
        <f>CTC!H36</f>
        <v>2931.4204993573398</v>
      </c>
      <c r="E36" s="105">
        <f>ABS(D36-C36)</f>
        <v>331.42049935733985</v>
      </c>
      <c r="F36" s="106">
        <f>CTC!M36</f>
        <v>2964.2243223416094</v>
      </c>
      <c r="G36" s="106">
        <f>CTC!N36</f>
        <v>3346.8844297312767</v>
      </c>
      <c r="H36" s="104">
        <f>F36-C36</f>
        <v>364.22432234160942</v>
      </c>
      <c r="I36" s="104">
        <f>G36-C36</f>
        <v>746.88442973127667</v>
      </c>
      <c r="J36" s="105">
        <f>MAX(ABS(H36),ABS(I36))</f>
        <v>746.88442973127667</v>
      </c>
      <c r="K36" s="106">
        <f>CTC!Q36</f>
        <v>2497.5389779932898</v>
      </c>
      <c r="L36" s="106">
        <f>CTC!R36</f>
        <v>3320.1115255501722</v>
      </c>
      <c r="M36" s="107">
        <f>CTC!Q36-SummaryQuantCTC!C36</f>
        <v>-102.46102200671021</v>
      </c>
      <c r="N36" s="107">
        <f>CTC!R36-SummaryQuantCTC!C36</f>
        <v>720.11152555017225</v>
      </c>
      <c r="O36" s="105">
        <f>MAX(ABS(M36),ABS(N36))</f>
        <v>720.11152555017225</v>
      </c>
      <c r="P36" s="108" t="str">
        <f>IF(OR(E36&lt;J36,E36&lt;O36),"YES","NO")</f>
        <v>YES</v>
      </c>
    </row>
    <row r="37" spans="1:16" ht="17.399999999999999" customHeight="1" x14ac:dyDescent="0.3">
      <c r="A37" s="118" t="s">
        <v>15</v>
      </c>
      <c r="B37" s="119" t="s">
        <v>82</v>
      </c>
      <c r="C37" s="120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2"/>
    </row>
    <row r="38" spans="1:16" ht="16.8" customHeight="1" x14ac:dyDescent="0.3">
      <c r="A38" s="123"/>
      <c r="B38" s="124" t="s">
        <v>103</v>
      </c>
      <c r="C38" s="125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7"/>
    </row>
    <row r="39" spans="1:16" x14ac:dyDescent="0.3">
      <c r="A39" s="118" t="s">
        <v>16</v>
      </c>
      <c r="B39" s="110" t="s">
        <v>73</v>
      </c>
      <c r="C39" s="128">
        <f>CTC!G39</f>
        <v>10</v>
      </c>
      <c r="D39" s="112">
        <f>CTC!H39</f>
        <v>13.41048166783512</v>
      </c>
      <c r="E39" s="113">
        <f t="shared" ref="E39:E50" si="18">ABS(D39-C39)</f>
        <v>3.4104816678351195</v>
      </c>
      <c r="F39" s="114">
        <f>CTC!M39</f>
        <v>4.1572357723577298</v>
      </c>
      <c r="G39" s="114">
        <f>CTC!N39</f>
        <v>17.317886178861819</v>
      </c>
      <c r="H39" s="112">
        <f t="shared" ref="H39:H50" si="19">F39-C39</f>
        <v>-5.8427642276422702</v>
      </c>
      <c r="I39" s="112">
        <f t="shared" ref="I39:I50" si="20">G39-C39</f>
        <v>7.3178861788618192</v>
      </c>
      <c r="J39" s="113">
        <f t="shared" ref="J39:J50" si="21">MAX(ABS(H39),ABS(I39))</f>
        <v>7.3178861788618192</v>
      </c>
      <c r="K39" s="114">
        <f>CTC!Q39</f>
        <v>17.86627282491942</v>
      </c>
      <c r="L39" s="114">
        <f>CTC!R39</f>
        <v>37.869351951306804</v>
      </c>
      <c r="M39" s="115">
        <f>CTC!Q39-SummaryQuantCTC!C39</f>
        <v>7.8662728249194203</v>
      </c>
      <c r="N39" s="115">
        <f>CTC!R39-SummaryQuantCTC!C39</f>
        <v>27.869351951306804</v>
      </c>
      <c r="O39" s="113">
        <f t="shared" ref="O39:O50" si="22">MAX(ABS(M39),ABS(N39))</f>
        <v>27.869351951306804</v>
      </c>
      <c r="P39" s="116" t="str">
        <f t="shared" ref="P39:P50" si="23">IF(OR(E39&lt;J39,E39&lt;O39),"YES","NO")</f>
        <v>YES</v>
      </c>
    </row>
    <row r="40" spans="1:16" x14ac:dyDescent="0.3">
      <c r="A40" s="123"/>
      <c r="B40" s="102" t="s">
        <v>74</v>
      </c>
      <c r="C40" s="103">
        <f>CTC!G40</f>
        <v>45</v>
      </c>
      <c r="D40" s="104">
        <f>CTC!H40</f>
        <v>54.011977069542219</v>
      </c>
      <c r="E40" s="105">
        <f t="shared" si="18"/>
        <v>9.011977069542219</v>
      </c>
      <c r="F40" s="106">
        <f>CTC!M40</f>
        <v>40.010894308943122</v>
      </c>
      <c r="G40" s="106">
        <f>CTC!N40</f>
        <v>72.151219512195269</v>
      </c>
      <c r="H40" s="104">
        <f t="shared" si="19"/>
        <v>-4.9891056910568778</v>
      </c>
      <c r="I40" s="104">
        <f t="shared" si="20"/>
        <v>27.151219512195269</v>
      </c>
      <c r="J40" s="105">
        <f t="shared" si="21"/>
        <v>27.151219512195269</v>
      </c>
      <c r="K40" s="106">
        <f>CTC!Q40</f>
        <v>41.43770139634799</v>
      </c>
      <c r="L40" s="106">
        <f>CTC!R40</f>
        <v>90.676369495166398</v>
      </c>
      <c r="M40" s="107">
        <f>CTC!Q40-SummaryQuantCTC!C40</f>
        <v>-3.5622986036520103</v>
      </c>
      <c r="N40" s="107">
        <f>CTC!R40-SummaryQuantCTC!C40</f>
        <v>45.676369495166398</v>
      </c>
      <c r="O40" s="105">
        <f t="shared" si="22"/>
        <v>45.676369495166398</v>
      </c>
      <c r="P40" s="108" t="str">
        <f t="shared" si="23"/>
        <v>YES</v>
      </c>
    </row>
    <row r="41" spans="1:16" x14ac:dyDescent="0.3">
      <c r="A41" s="118" t="s">
        <v>18</v>
      </c>
      <c r="B41" s="110" t="s">
        <v>73</v>
      </c>
      <c r="C41" s="128">
        <f>CTC!G41</f>
        <v>2</v>
      </c>
      <c r="D41" s="112">
        <f>CTC!H41</f>
        <v>3.2189284134278653</v>
      </c>
      <c r="E41" s="113">
        <f t="shared" si="18"/>
        <v>1.2189284134278653</v>
      </c>
      <c r="F41" s="114">
        <f>CTC!M41</f>
        <v>-0.31435185185185022</v>
      </c>
      <c r="G41" s="114">
        <f>CTC!N41</f>
        <v>2.9098379629629596</v>
      </c>
      <c r="H41" s="112">
        <f t="shared" si="19"/>
        <v>-2.3143518518518502</v>
      </c>
      <c r="I41" s="112">
        <f t="shared" si="20"/>
        <v>0.9098379629629596</v>
      </c>
      <c r="J41" s="113">
        <f t="shared" si="21"/>
        <v>2.3143518518518502</v>
      </c>
      <c r="K41" s="114">
        <f>CTC!Q41</f>
        <v>1.8842105263157891</v>
      </c>
      <c r="L41" s="114">
        <f>CTC!R41</f>
        <v>6.7789473684210604</v>
      </c>
      <c r="M41" s="115">
        <f>CTC!Q41-SummaryQuantCTC!C41</f>
        <v>-0.11578947368421089</v>
      </c>
      <c r="N41" s="115">
        <f>CTC!R41-SummaryQuantCTC!C41</f>
        <v>4.7789473684210604</v>
      </c>
      <c r="O41" s="113">
        <f t="shared" si="22"/>
        <v>4.7789473684210604</v>
      </c>
      <c r="P41" s="116" t="str">
        <f t="shared" si="23"/>
        <v>YES</v>
      </c>
    </row>
    <row r="42" spans="1:16" x14ac:dyDescent="0.3">
      <c r="A42" s="123"/>
      <c r="B42" s="102" t="s">
        <v>74</v>
      </c>
      <c r="C42" s="103">
        <f>CTC!G42</f>
        <v>15</v>
      </c>
      <c r="D42" s="104">
        <f>CTC!H42</f>
        <v>21.413826965590928</v>
      </c>
      <c r="E42" s="105">
        <f t="shared" si="18"/>
        <v>6.4138269655909284</v>
      </c>
      <c r="F42" s="106">
        <f>CTC!M42</f>
        <v>12.27939814814815</v>
      </c>
      <c r="G42" s="106">
        <f>CTC!N42</f>
        <v>22.169097222222199</v>
      </c>
      <c r="H42" s="104">
        <f t="shared" si="19"/>
        <v>-2.7206018518518498</v>
      </c>
      <c r="I42" s="104">
        <f t="shared" si="20"/>
        <v>7.1690972222221987</v>
      </c>
      <c r="J42" s="105">
        <f t="shared" si="21"/>
        <v>7.1690972222221987</v>
      </c>
      <c r="K42" s="106">
        <f>CTC!Q42</f>
        <v>14.884210526315789</v>
      </c>
      <c r="L42" s="106">
        <f>CTC!R42</f>
        <v>30.04210526315795</v>
      </c>
      <c r="M42" s="107">
        <f>CTC!Q42-SummaryQuantCTC!C42</f>
        <v>-0.11578947368421133</v>
      </c>
      <c r="N42" s="107">
        <f>CTC!R42-SummaryQuantCTC!C42</f>
        <v>15.04210526315795</v>
      </c>
      <c r="O42" s="105">
        <f t="shared" si="22"/>
        <v>15.04210526315795</v>
      </c>
      <c r="P42" s="108" t="str">
        <f t="shared" si="23"/>
        <v>YES</v>
      </c>
    </row>
    <row r="43" spans="1:16" x14ac:dyDescent="0.3">
      <c r="A43" s="118" t="s">
        <v>19</v>
      </c>
      <c r="B43" s="110" t="s">
        <v>73</v>
      </c>
      <c r="C43" s="128">
        <f>CTC!G43</f>
        <v>175</v>
      </c>
      <c r="D43" s="112">
        <f>CTC!H43</f>
        <v>214.0345877548319</v>
      </c>
      <c r="E43" s="113">
        <f t="shared" si="18"/>
        <v>39.034587754831904</v>
      </c>
      <c r="F43" s="114">
        <f>CTC!M43</f>
        <v>220.8072748969409</v>
      </c>
      <c r="G43" s="114">
        <f>CTC!N43</f>
        <v>294.01660880885214</v>
      </c>
      <c r="H43" s="112">
        <f t="shared" si="19"/>
        <v>45.807274896940896</v>
      </c>
      <c r="I43" s="112">
        <f t="shared" si="20"/>
        <v>119.01660880885214</v>
      </c>
      <c r="J43" s="113">
        <f t="shared" si="21"/>
        <v>119.01660880885214</v>
      </c>
      <c r="K43" s="114">
        <f>CTC!Q43</f>
        <v>351.2863601261339</v>
      </c>
      <c r="L43" s="114">
        <f>CTC!R43</f>
        <v>547.77749533432052</v>
      </c>
      <c r="M43" s="115">
        <f>CTC!Q43-SummaryQuantCTC!C43</f>
        <v>176.2863601261339</v>
      </c>
      <c r="N43" s="115">
        <f>CTC!R43-SummaryQuantCTC!C43</f>
        <v>372.77749533432052</v>
      </c>
      <c r="O43" s="113">
        <f t="shared" si="22"/>
        <v>372.77749533432052</v>
      </c>
      <c r="P43" s="116" t="str">
        <f t="shared" si="23"/>
        <v>YES</v>
      </c>
    </row>
    <row r="44" spans="1:16" x14ac:dyDescent="0.3">
      <c r="A44" s="133"/>
      <c r="B44" s="134" t="s">
        <v>74</v>
      </c>
      <c r="C44" s="135">
        <f>CTC!G44</f>
        <v>600</v>
      </c>
      <c r="D44" s="136">
        <f>CTC!H44</f>
        <v>649.36748296006988</v>
      </c>
      <c r="E44" s="137">
        <f t="shared" si="18"/>
        <v>49.367482960069879</v>
      </c>
      <c r="F44" s="138">
        <f>CTC!M44</f>
        <v>750.28221523106993</v>
      </c>
      <c r="G44" s="138">
        <f>CTC!N44</f>
        <v>906.40297244521548</v>
      </c>
      <c r="H44" s="136">
        <f t="shared" si="19"/>
        <v>150.28221523106993</v>
      </c>
      <c r="I44" s="136">
        <f t="shared" si="20"/>
        <v>306.40297244521548</v>
      </c>
      <c r="J44" s="137">
        <f t="shared" si="21"/>
        <v>306.40297244521548</v>
      </c>
      <c r="K44" s="138">
        <f>CTC!Q44</f>
        <v>530.0973357358904</v>
      </c>
      <c r="L44" s="138">
        <f>CTC!R44</f>
        <v>966.60994916017819</v>
      </c>
      <c r="M44" s="139">
        <f>CTC!Q44-SummaryQuantCTC!C44</f>
        <v>-69.902664264109603</v>
      </c>
      <c r="N44" s="139">
        <f>CTC!R44-SummaryQuantCTC!C44</f>
        <v>366.60994916017819</v>
      </c>
      <c r="O44" s="137">
        <f t="shared" si="22"/>
        <v>366.60994916017819</v>
      </c>
      <c r="P44" s="140" t="str">
        <f t="shared" si="23"/>
        <v>YES</v>
      </c>
    </row>
    <row r="45" spans="1:16" x14ac:dyDescent="0.3">
      <c r="A45" s="141" t="s">
        <v>20</v>
      </c>
      <c r="B45" s="142" t="s">
        <v>73</v>
      </c>
      <c r="C45" s="143">
        <f>CTC!G45</f>
        <v>160</v>
      </c>
      <c r="D45" s="144">
        <f>CTC!H45</f>
        <v>154.45162951855093</v>
      </c>
      <c r="E45" s="145">
        <f t="shared" si="18"/>
        <v>5.5483704814490693</v>
      </c>
      <c r="F45" s="146">
        <f>CTC!M45</f>
        <v>85.143798289184019</v>
      </c>
      <c r="G45" s="146">
        <f>CTC!N45</f>
        <v>208.17688426363989</v>
      </c>
      <c r="H45" s="144">
        <f t="shared" si="19"/>
        <v>-74.856201710815981</v>
      </c>
      <c r="I45" s="144">
        <f t="shared" si="20"/>
        <v>48.176884263639892</v>
      </c>
      <c r="J45" s="145">
        <f t="shared" si="21"/>
        <v>74.856201710815981</v>
      </c>
      <c r="K45" s="146">
        <f>CTC!Q45</f>
        <v>7.2672268907567172</v>
      </c>
      <c r="L45" s="146">
        <f>CTC!R45</f>
        <v>235.8241456582623</v>
      </c>
      <c r="M45" s="147">
        <f>CTC!Q45-SummaryQuantCTC!C45</f>
        <v>-152.73277310924328</v>
      </c>
      <c r="N45" s="147">
        <f>CTC!R45-SummaryQuantCTC!C45</f>
        <v>75.824145658262296</v>
      </c>
      <c r="O45" s="145">
        <f t="shared" si="22"/>
        <v>152.73277310924328</v>
      </c>
      <c r="P45" s="148" t="str">
        <f t="shared" si="23"/>
        <v>YES</v>
      </c>
    </row>
    <row r="46" spans="1:16" x14ac:dyDescent="0.3">
      <c r="A46" s="123"/>
      <c r="B46" s="102" t="s">
        <v>74</v>
      </c>
      <c r="C46" s="103">
        <f>CTC!G46</f>
        <v>350</v>
      </c>
      <c r="D46" s="104">
        <f>CTC!H46</f>
        <v>392.27374358820202</v>
      </c>
      <c r="E46" s="105">
        <f t="shared" si="18"/>
        <v>42.273743588202024</v>
      </c>
      <c r="F46" s="106">
        <f>CTC!M46</f>
        <v>309.95616032009002</v>
      </c>
      <c r="G46" s="106">
        <f>CTC!N46</f>
        <v>492.32866997792661</v>
      </c>
      <c r="H46" s="104">
        <f t="shared" si="19"/>
        <v>-40.043839679909979</v>
      </c>
      <c r="I46" s="104">
        <f t="shared" si="20"/>
        <v>142.32866997792661</v>
      </c>
      <c r="J46" s="105">
        <f t="shared" si="21"/>
        <v>142.32866997792661</v>
      </c>
      <c r="K46" s="106">
        <f>CTC!Q46</f>
        <v>175.55294117647222</v>
      </c>
      <c r="L46" s="106">
        <f>CTC!R46</f>
        <v>509.3815686274508</v>
      </c>
      <c r="M46" s="107">
        <f>CTC!Q46-SummaryQuantCTC!C46</f>
        <v>-174.44705882352778</v>
      </c>
      <c r="N46" s="107">
        <f>CTC!R46-SummaryQuantCTC!C46</f>
        <v>159.3815686274508</v>
      </c>
      <c r="O46" s="105">
        <f t="shared" si="22"/>
        <v>174.44705882352778</v>
      </c>
      <c r="P46" s="108" t="str">
        <f t="shared" si="23"/>
        <v>YES</v>
      </c>
    </row>
    <row r="47" spans="1:16" x14ac:dyDescent="0.3">
      <c r="A47" s="118" t="s">
        <v>22</v>
      </c>
      <c r="B47" s="110" t="s">
        <v>73</v>
      </c>
      <c r="C47" s="128">
        <f>CTC!G47</f>
        <v>0.32</v>
      </c>
      <c r="D47" s="115">
        <f>CTC!H47</f>
        <v>0.18228444577340777</v>
      </c>
      <c r="E47" s="129">
        <f t="shared" si="18"/>
        <v>0.13771555422659223</v>
      </c>
      <c r="F47" s="130">
        <f>CTC!M47</f>
        <v>-0.1765081453634082</v>
      </c>
      <c r="G47" s="130">
        <f>CTC!N47</f>
        <v>0.42507518796992722</v>
      </c>
      <c r="H47" s="115">
        <f t="shared" si="19"/>
        <v>-0.4965081453634082</v>
      </c>
      <c r="I47" s="115">
        <f t="shared" si="20"/>
        <v>0.10507518796992721</v>
      </c>
      <c r="J47" s="129">
        <f t="shared" si="21"/>
        <v>0.4965081453634082</v>
      </c>
      <c r="K47" s="130">
        <f>CTC!Q47</f>
        <v>-0.53947403354301071</v>
      </c>
      <c r="L47" s="130">
        <f>CTC!R47</f>
        <v>0.44722875850910604</v>
      </c>
      <c r="M47" s="115">
        <f>CTC!Q47-SummaryQuantCTC!C47</f>
        <v>-0.85947403354301066</v>
      </c>
      <c r="N47" s="115">
        <f>CTC!R47-SummaryQuantCTC!C47</f>
        <v>0.12722875850910603</v>
      </c>
      <c r="O47" s="129">
        <f t="shared" si="22"/>
        <v>0.85947403354301066</v>
      </c>
      <c r="P47" s="116" t="str">
        <f t="shared" si="23"/>
        <v>YES</v>
      </c>
    </row>
    <row r="48" spans="1:16" x14ac:dyDescent="0.3">
      <c r="A48" s="123"/>
      <c r="B48" s="102" t="s">
        <v>74</v>
      </c>
      <c r="C48" s="103">
        <f>CTC!G48</f>
        <v>0.9</v>
      </c>
      <c r="D48" s="107">
        <f>CTC!H48</f>
        <v>0.85569536185478989</v>
      </c>
      <c r="E48" s="131">
        <f t="shared" si="18"/>
        <v>4.4304638145210129E-2</v>
      </c>
      <c r="F48" s="132">
        <f>CTC!M48</f>
        <v>0.44419360902255589</v>
      </c>
      <c r="G48" s="132">
        <f>CTC!N48</f>
        <v>1.357218045112786</v>
      </c>
      <c r="H48" s="107">
        <f t="shared" si="19"/>
        <v>-0.45580639097744413</v>
      </c>
      <c r="I48" s="107">
        <f t="shared" si="20"/>
        <v>0.45721804511278596</v>
      </c>
      <c r="J48" s="131">
        <f t="shared" si="21"/>
        <v>0.45721804511278596</v>
      </c>
      <c r="K48" s="132">
        <f>CTC!Q48</f>
        <v>-0.1220890680343919</v>
      </c>
      <c r="L48" s="132">
        <f>CTC!R48</f>
        <v>1.3727683255259835</v>
      </c>
      <c r="M48" s="107">
        <f>CTC!Q48-SummaryQuantCTC!C48</f>
        <v>-1.0220890680343919</v>
      </c>
      <c r="N48" s="107">
        <f>CTC!R48-SummaryQuantCTC!C48</f>
        <v>0.47276832552598347</v>
      </c>
      <c r="O48" s="131">
        <f t="shared" si="22"/>
        <v>1.0220890680343919</v>
      </c>
      <c r="P48" s="108" t="str">
        <f t="shared" si="23"/>
        <v>YES</v>
      </c>
    </row>
    <row r="49" spans="1:16" x14ac:dyDescent="0.3">
      <c r="A49" s="65" t="s">
        <v>21</v>
      </c>
      <c r="B49" s="62" t="s">
        <v>73</v>
      </c>
      <c r="C49" s="88">
        <f>CTC!G49</f>
        <v>0.5</v>
      </c>
      <c r="D49" s="71">
        <f>CTC!H49</f>
        <v>0.390407940057792</v>
      </c>
      <c r="E49" s="84">
        <f t="shared" si="18"/>
        <v>0.109592059942208</v>
      </c>
      <c r="F49" s="85">
        <f>CTC!M49</f>
        <v>8.3015594541909044E-2</v>
      </c>
      <c r="G49" s="85">
        <f>CTC!N49</f>
        <v>0.8109532163742712</v>
      </c>
      <c r="H49" s="71">
        <f t="shared" si="19"/>
        <v>-0.41698440545809096</v>
      </c>
      <c r="I49" s="71">
        <f t="shared" si="20"/>
        <v>0.3109532163742712</v>
      </c>
      <c r="J49" s="84">
        <f t="shared" si="21"/>
        <v>0.41698440545809096</v>
      </c>
      <c r="K49" s="85">
        <f>CTC!Q49</f>
        <v>-0.17500241109101949</v>
      </c>
      <c r="L49" s="85">
        <f>CTC!R49</f>
        <v>0.75763426763110142</v>
      </c>
      <c r="M49" s="71">
        <f>CTC!Q49-SummaryQuantCTC!C49</f>
        <v>-0.67500241109101955</v>
      </c>
      <c r="N49" s="71">
        <f>CTC!R49-SummaryQuantCTC!C49</f>
        <v>0.25763426763110142</v>
      </c>
      <c r="O49" s="84">
        <f t="shared" si="22"/>
        <v>0.67500241109101955</v>
      </c>
      <c r="P49" s="72" t="str">
        <f t="shared" si="23"/>
        <v>YES</v>
      </c>
    </row>
    <row r="50" spans="1:16" ht="15" thickBot="1" x14ac:dyDescent="0.35">
      <c r="A50" s="66"/>
      <c r="B50" s="73" t="s">
        <v>74</v>
      </c>
      <c r="C50" s="74">
        <f>CTC!G50</f>
        <v>0.99</v>
      </c>
      <c r="D50" s="75">
        <f>CTC!H50</f>
        <v>0.97568557644220155</v>
      </c>
      <c r="E50" s="86">
        <f t="shared" si="18"/>
        <v>1.4314423557798439E-2</v>
      </c>
      <c r="F50" s="87">
        <f>CTC!M50</f>
        <v>0.53671929824561282</v>
      </c>
      <c r="G50" s="87">
        <f>CTC!N50</f>
        <v>1.533058479532168</v>
      </c>
      <c r="H50" s="75">
        <f t="shared" si="19"/>
        <v>-0.45328070175438717</v>
      </c>
      <c r="I50" s="75">
        <f t="shared" si="20"/>
        <v>0.54305847953216801</v>
      </c>
      <c r="J50" s="86">
        <f t="shared" si="21"/>
        <v>0.54305847953216801</v>
      </c>
      <c r="K50" s="87">
        <f>CTC!Q50</f>
        <v>0.2858309222423141</v>
      </c>
      <c r="L50" s="87">
        <f>CTC!R50</f>
        <v>1.5577608499095807</v>
      </c>
      <c r="M50" s="75">
        <f>CTC!Q50-SummaryQuantCTC!C50</f>
        <v>-0.70416907775768589</v>
      </c>
      <c r="N50" s="75">
        <f>CTC!R50-SummaryQuantCTC!C50</f>
        <v>0.56776084990958076</v>
      </c>
      <c r="O50" s="86">
        <f t="shared" si="22"/>
        <v>0.70416907775768589</v>
      </c>
      <c r="P50" s="76" t="str">
        <f t="shared" si="23"/>
        <v>YES</v>
      </c>
    </row>
    <row r="51" spans="1:16" ht="63.6" customHeight="1" thickBot="1" x14ac:dyDescent="0.35">
      <c r="A51" s="77" t="s">
        <v>94</v>
      </c>
      <c r="B51" s="78" t="s">
        <v>97</v>
      </c>
      <c r="C51" s="78" t="s">
        <v>158</v>
      </c>
      <c r="D51" s="78" t="s">
        <v>100</v>
      </c>
      <c r="E51" s="78" t="s">
        <v>75</v>
      </c>
      <c r="F51" s="89" t="s">
        <v>88</v>
      </c>
      <c r="G51" s="89" t="s">
        <v>89</v>
      </c>
      <c r="H51" s="90" t="s">
        <v>96</v>
      </c>
      <c r="I51" s="90" t="s">
        <v>98</v>
      </c>
      <c r="J51" s="89" t="s">
        <v>85</v>
      </c>
      <c r="K51" s="79" t="s">
        <v>90</v>
      </c>
      <c r="L51" s="79" t="s">
        <v>91</v>
      </c>
      <c r="M51" s="80" t="s">
        <v>96</v>
      </c>
      <c r="N51" s="80" t="s">
        <v>98</v>
      </c>
      <c r="O51" s="79" t="s">
        <v>76</v>
      </c>
      <c r="P51" s="83" t="s">
        <v>102</v>
      </c>
    </row>
    <row r="52" spans="1:16" ht="15" thickTop="1" x14ac:dyDescent="0.3">
      <c r="A52" s="164" t="s">
        <v>142</v>
      </c>
      <c r="B52" s="100" t="s">
        <v>73</v>
      </c>
      <c r="C52" s="185">
        <f>CTC!G52</f>
        <v>2000</v>
      </c>
      <c r="D52" s="179">
        <f>CTC!H52</f>
        <v>2009.2530967694813</v>
      </c>
      <c r="E52" s="179">
        <f t="shared" ref="E52:E57" si="24">ABS(D52-C52)</f>
        <v>9.2530967694813171</v>
      </c>
      <c r="F52" s="180">
        <f>CTC!M52</f>
        <v>1892.0632962246398</v>
      </c>
      <c r="G52" s="180">
        <f>CTC!N52</f>
        <v>2065.1765570321509</v>
      </c>
      <c r="H52" s="180">
        <f t="shared" ref="H52:H57" si="25">F52-C52</f>
        <v>-107.93670377536023</v>
      </c>
      <c r="I52" s="180">
        <f t="shared" ref="I52:I57" si="26">G52-C52</f>
        <v>65.176557032150868</v>
      </c>
      <c r="J52" s="180">
        <f t="shared" ref="J52:J57" si="27">MAX(ABS(H52),ABS(I52))</f>
        <v>107.93670377536023</v>
      </c>
      <c r="K52" s="180">
        <f>CTC!Q52</f>
        <v>1966.2292654713692</v>
      </c>
      <c r="L52" s="180">
        <f>CTC!R52</f>
        <v>2008.6550607287531</v>
      </c>
      <c r="M52" s="180">
        <f>CTC!Q52-SummaryQuantCTC!C52</f>
        <v>-33.770734528630783</v>
      </c>
      <c r="N52" s="180">
        <f>CTC!R52-SummaryQuantCTC!C52</f>
        <v>8.655060728753142</v>
      </c>
      <c r="O52" s="180">
        <f t="shared" ref="O52:O57" si="28">MAX(ABS(M52),ABS(N52))</f>
        <v>33.770734528630783</v>
      </c>
      <c r="P52" s="166" t="str">
        <f t="shared" ref="P52:P57" si="29">IF(OR(E52&lt;J52,E52&lt;O52),"YES","NO")</f>
        <v>YES</v>
      </c>
    </row>
    <row r="53" spans="1:16" x14ac:dyDescent="0.3">
      <c r="A53" s="168"/>
      <c r="B53" s="102" t="s">
        <v>74</v>
      </c>
      <c r="C53" s="189">
        <f>CTC!G53</f>
        <v>6100</v>
      </c>
      <c r="D53" s="188">
        <f>CTC!H53</f>
        <v>6156.2007021540467</v>
      </c>
      <c r="E53" s="188">
        <f t="shared" si="24"/>
        <v>56.200702154046667</v>
      </c>
      <c r="F53" s="187">
        <f>CTC!M53</f>
        <v>5746.8097201518176</v>
      </c>
      <c r="G53" s="187">
        <f>CTC!N53</f>
        <v>6048.5098903654862</v>
      </c>
      <c r="H53" s="187">
        <f t="shared" si="25"/>
        <v>-353.1902798481824</v>
      </c>
      <c r="I53" s="187">
        <f t="shared" si="26"/>
        <v>-51.490109634513828</v>
      </c>
      <c r="J53" s="187">
        <f t="shared" si="27"/>
        <v>353.1902798481824</v>
      </c>
      <c r="K53" s="187">
        <f>CTC!Q53</f>
        <v>6228.9961827645993</v>
      </c>
      <c r="L53" s="187">
        <f>CTC!R53</f>
        <v>6297.8858299595377</v>
      </c>
      <c r="M53" s="187">
        <f>CTC!Q53-SummaryQuantCTC!C53</f>
        <v>128.99618276459933</v>
      </c>
      <c r="N53" s="187">
        <f>CTC!R53-SummaryQuantCTC!C53</f>
        <v>197.88582995953766</v>
      </c>
      <c r="O53" s="187">
        <f t="shared" si="28"/>
        <v>197.88582995953766</v>
      </c>
      <c r="P53" s="169" t="str">
        <f t="shared" si="29"/>
        <v>YES</v>
      </c>
    </row>
    <row r="54" spans="1:16" x14ac:dyDescent="0.3">
      <c r="A54" s="64" t="s">
        <v>104</v>
      </c>
      <c r="B54" s="62" t="s">
        <v>73</v>
      </c>
      <c r="C54" s="67">
        <f>CTC!G54</f>
        <v>400</v>
      </c>
      <c r="D54" s="68">
        <f>CTC!H54</f>
        <v>411.38088819387963</v>
      </c>
      <c r="E54" s="69">
        <f t="shared" si="24"/>
        <v>11.380888193879628</v>
      </c>
      <c r="F54" s="70">
        <f>CTC!M54</f>
        <v>428.94841269841271</v>
      </c>
      <c r="G54" s="70">
        <f>CTC!N54</f>
        <v>504.98412698412818</v>
      </c>
      <c r="H54" s="68">
        <f t="shared" si="25"/>
        <v>28.94841269841271</v>
      </c>
      <c r="I54" s="68">
        <f t="shared" si="26"/>
        <v>104.98412698412818</v>
      </c>
      <c r="J54" s="69">
        <f t="shared" si="27"/>
        <v>104.98412698412818</v>
      </c>
      <c r="K54" s="70">
        <f>CTC!Q54</f>
        <v>370.19934253430415</v>
      </c>
      <c r="L54" s="70">
        <f>CTC!R54</f>
        <v>466.76562811930205</v>
      </c>
      <c r="M54" s="71">
        <f>CTC!Q54-SummaryQuantCTC!C54</f>
        <v>-29.800657465695849</v>
      </c>
      <c r="N54" s="71">
        <f>CTC!R54-SummaryQuantCTC!C54</f>
        <v>66.76562811930205</v>
      </c>
      <c r="O54" s="69">
        <f t="shared" si="28"/>
        <v>66.76562811930205</v>
      </c>
      <c r="P54" s="72" t="str">
        <f t="shared" si="29"/>
        <v>YES</v>
      </c>
    </row>
    <row r="55" spans="1:16" x14ac:dyDescent="0.3">
      <c r="A55" s="5"/>
      <c r="B55" s="62" t="s">
        <v>74</v>
      </c>
      <c r="C55" s="67">
        <f>CTC!G55</f>
        <v>1075</v>
      </c>
      <c r="D55" s="68">
        <f>CTC!H55</f>
        <v>1106.6599874328299</v>
      </c>
      <c r="E55" s="69">
        <f t="shared" si="24"/>
        <v>31.659987432829894</v>
      </c>
      <c r="F55" s="70">
        <f>CTC!M55</f>
        <v>1103.9484126984128</v>
      </c>
      <c r="G55" s="70">
        <f>CTC!N55</f>
        <v>1225.5198412698442</v>
      </c>
      <c r="H55" s="68">
        <f t="shared" si="25"/>
        <v>28.948412698412767</v>
      </c>
      <c r="I55" s="68">
        <f t="shared" si="26"/>
        <v>150.51984126984416</v>
      </c>
      <c r="J55" s="69">
        <f t="shared" si="27"/>
        <v>150.51984126984416</v>
      </c>
      <c r="K55" s="70">
        <f>CTC!Q55</f>
        <v>964.91299892196935</v>
      </c>
      <c r="L55" s="70">
        <f>CTC!R55</f>
        <v>1121.3728788745889</v>
      </c>
      <c r="M55" s="71">
        <f>CTC!Q55-SummaryQuantCTC!C55</f>
        <v>-110.08700107803065</v>
      </c>
      <c r="N55" s="71">
        <f>CTC!R55-SummaryQuantCTC!C55</f>
        <v>46.372878874588878</v>
      </c>
      <c r="O55" s="69">
        <f t="shared" si="28"/>
        <v>110.08700107803065</v>
      </c>
      <c r="P55" s="72" t="str">
        <f t="shared" si="29"/>
        <v>YES</v>
      </c>
    </row>
    <row r="56" spans="1:16" x14ac:dyDescent="0.3">
      <c r="A56" s="109" t="s">
        <v>11</v>
      </c>
      <c r="B56" s="110" t="s">
        <v>73</v>
      </c>
      <c r="C56" s="111">
        <f>CTC!G56</f>
        <v>675</v>
      </c>
      <c r="D56" s="112">
        <f>CTC!H56</f>
        <v>799.71903747193448</v>
      </c>
      <c r="E56" s="113">
        <f t="shared" si="24"/>
        <v>124.71903747193448</v>
      </c>
      <c r="F56" s="114">
        <f>CTC!M56</f>
        <v>674.19382911392097</v>
      </c>
      <c r="G56" s="114">
        <f>CTC!N56</f>
        <v>894.65400843881628</v>
      </c>
      <c r="H56" s="112">
        <f t="shared" si="25"/>
        <v>-0.80617088607903042</v>
      </c>
      <c r="I56" s="112">
        <f t="shared" si="26"/>
        <v>219.65400843881628</v>
      </c>
      <c r="J56" s="113">
        <f t="shared" si="27"/>
        <v>219.65400843881628</v>
      </c>
      <c r="K56" s="114">
        <f>CTC!Q56</f>
        <v>636.92607238408868</v>
      </c>
      <c r="L56" s="114">
        <f>CTC!R56</f>
        <v>847.67017022902951</v>
      </c>
      <c r="M56" s="115">
        <f>CTC!Q56-SummaryQuantCTC!C56</f>
        <v>-38.073927615911316</v>
      </c>
      <c r="N56" s="115">
        <f>CTC!R56-SummaryQuantCTC!C56</f>
        <v>172.67017022902951</v>
      </c>
      <c r="O56" s="113">
        <f t="shared" si="28"/>
        <v>172.67017022902951</v>
      </c>
      <c r="P56" s="116" t="str">
        <f t="shared" si="29"/>
        <v>YES</v>
      </c>
    </row>
    <row r="57" spans="1:16" x14ac:dyDescent="0.3">
      <c r="A57" s="101"/>
      <c r="B57" s="102" t="s">
        <v>74</v>
      </c>
      <c r="C57" s="117">
        <f>CTC!G57</f>
        <v>1500</v>
      </c>
      <c r="D57" s="104">
        <f>CTC!H57</f>
        <v>1499.7808540944134</v>
      </c>
      <c r="E57" s="105">
        <f t="shared" si="24"/>
        <v>0.21914590558662894</v>
      </c>
      <c r="F57" s="106">
        <f>CTC!M57</f>
        <v>1504.922995780584</v>
      </c>
      <c r="G57" s="106">
        <f>CTC!N57</f>
        <v>1834.527426160332</v>
      </c>
      <c r="H57" s="104">
        <f t="shared" si="25"/>
        <v>4.9229957805839604</v>
      </c>
      <c r="I57" s="104">
        <f t="shared" si="26"/>
        <v>334.52742616033197</v>
      </c>
      <c r="J57" s="105">
        <f t="shared" si="27"/>
        <v>334.52742616033197</v>
      </c>
      <c r="K57" s="106">
        <f>CTC!Q57</f>
        <v>1124.7998265369124</v>
      </c>
      <c r="L57" s="106">
        <f>CTC!R57</f>
        <v>1442.6922941228345</v>
      </c>
      <c r="M57" s="107">
        <f>CTC!Q57-SummaryQuantCTC!C57</f>
        <v>-375.20017346308759</v>
      </c>
      <c r="N57" s="107">
        <f>CTC!R57-SummaryQuantCTC!C57</f>
        <v>-57.307705877165517</v>
      </c>
      <c r="O57" s="105">
        <f t="shared" si="28"/>
        <v>375.20017346308759</v>
      </c>
      <c r="P57" s="108" t="str">
        <f t="shared" si="29"/>
        <v>YES</v>
      </c>
    </row>
    <row r="58" spans="1:16" ht="15" customHeight="1" x14ac:dyDescent="0.3">
      <c r="A58" s="118" t="s">
        <v>13</v>
      </c>
      <c r="B58" s="119" t="s">
        <v>82</v>
      </c>
      <c r="C58" s="120"/>
      <c r="D58" s="121"/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2"/>
    </row>
    <row r="59" spans="1:16" ht="16.8" customHeight="1" x14ac:dyDescent="0.3">
      <c r="A59" s="123"/>
      <c r="B59" s="124" t="s">
        <v>103</v>
      </c>
      <c r="C59" s="125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7"/>
    </row>
    <row r="60" spans="1:16" x14ac:dyDescent="0.3">
      <c r="A60" s="118" t="s">
        <v>14</v>
      </c>
      <c r="B60" s="110" t="s">
        <v>73</v>
      </c>
      <c r="C60" s="128">
        <f>CTC!G60</f>
        <v>1000</v>
      </c>
      <c r="D60" s="112">
        <f>CTC!H60</f>
        <v>1135.9968899868459</v>
      </c>
      <c r="E60" s="113">
        <f>ABS(D60-C60)</f>
        <v>135.99688998684587</v>
      </c>
      <c r="F60" s="114">
        <f>CTC!M60</f>
        <v>1039.7346126085768</v>
      </c>
      <c r="G60" s="114">
        <f>CTC!N60</f>
        <v>1298.1607307299839</v>
      </c>
      <c r="H60" s="112">
        <f>F60-C60</f>
        <v>39.734612608576754</v>
      </c>
      <c r="I60" s="112">
        <f>G60-C60</f>
        <v>298.16073072998392</v>
      </c>
      <c r="J60" s="113">
        <f>MAX(ABS(H60),ABS(I60))</f>
        <v>298.16073072998392</v>
      </c>
      <c r="K60" s="114">
        <f>CTC!Q60</f>
        <v>936.43290043290096</v>
      </c>
      <c r="L60" s="114">
        <f>CTC!R60</f>
        <v>1261.9400865800869</v>
      </c>
      <c r="M60" s="115">
        <f>CTC!Q60-SummaryQuantCTC!C60</f>
        <v>-63.567099567099035</v>
      </c>
      <c r="N60" s="115">
        <f>CTC!R60-SummaryQuantCTC!C60</f>
        <v>261.94008658008693</v>
      </c>
      <c r="O60" s="113">
        <f>MAX(ABS(M60),ABS(N60))</f>
        <v>261.94008658008693</v>
      </c>
      <c r="P60" s="116" t="str">
        <f>IF(OR(E60&lt;J60,E60&lt;O60),"YES","NO")</f>
        <v>YES</v>
      </c>
    </row>
    <row r="61" spans="1:16" x14ac:dyDescent="0.3">
      <c r="A61" s="123"/>
      <c r="B61" s="102" t="s">
        <v>74</v>
      </c>
      <c r="C61" s="103">
        <f>CTC!G61</f>
        <v>2600</v>
      </c>
      <c r="D61" s="104">
        <f>CTC!H61</f>
        <v>2641.4867679516456</v>
      </c>
      <c r="E61" s="105">
        <f>ABS(D61-C61)</f>
        <v>41.486767951645561</v>
      </c>
      <c r="F61" s="106">
        <f>CTC!M61</f>
        <v>2635.2148385972778</v>
      </c>
      <c r="G61" s="106">
        <f>CTC!N61</f>
        <v>3046.17835187536</v>
      </c>
      <c r="H61" s="104">
        <f>F61-C61</f>
        <v>35.214838597277776</v>
      </c>
      <c r="I61" s="104">
        <f>G61-C61</f>
        <v>446.17835187536002</v>
      </c>
      <c r="J61" s="105">
        <f>MAX(ABS(H61),ABS(I61))</f>
        <v>446.17835187536002</v>
      </c>
      <c r="K61" s="106">
        <f>CTC!Q61</f>
        <v>2103.6709956709969</v>
      </c>
      <c r="L61" s="106">
        <f>CTC!R61</f>
        <v>2619.5158441558451</v>
      </c>
      <c r="M61" s="107">
        <f>CTC!Q61-SummaryQuantCTC!C61</f>
        <v>-496.32900432900306</v>
      </c>
      <c r="N61" s="107">
        <f>CTC!R61-SummaryQuantCTC!C61</f>
        <v>19.515844155845116</v>
      </c>
      <c r="O61" s="105">
        <f>MAX(ABS(M61),ABS(N61))</f>
        <v>496.32900432900306</v>
      </c>
      <c r="P61" s="108" t="str">
        <f>IF(OR(E61&lt;J61,E61&lt;O61),"YES","NO")</f>
        <v>YES</v>
      </c>
    </row>
    <row r="62" spans="1:16" ht="13.8" customHeight="1" x14ac:dyDescent="0.3">
      <c r="A62" s="118" t="s">
        <v>15</v>
      </c>
      <c r="B62" s="119" t="s">
        <v>82</v>
      </c>
      <c r="C62" s="120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2"/>
    </row>
    <row r="63" spans="1:16" ht="16.2" customHeight="1" x14ac:dyDescent="0.3">
      <c r="A63" s="123"/>
      <c r="B63" s="124" t="s">
        <v>103</v>
      </c>
      <c r="C63" s="125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7"/>
    </row>
    <row r="64" spans="1:16" x14ac:dyDescent="0.3">
      <c r="A64" s="118" t="s">
        <v>16</v>
      </c>
      <c r="B64" s="110" t="s">
        <v>73</v>
      </c>
      <c r="C64" s="128">
        <f>CTC!G64</f>
        <v>10</v>
      </c>
      <c r="D64" s="112">
        <f>CTC!H64</f>
        <v>-7.0698256905861001</v>
      </c>
      <c r="E64" s="113">
        <f t="shared" ref="E64:E75" si="30">ABS(D64-C64)</f>
        <v>17.0698256905861</v>
      </c>
      <c r="F64" s="114">
        <f>CTC!M64</f>
        <v>-41.342857142857241</v>
      </c>
      <c r="G64" s="114">
        <f>CTC!N64</f>
        <v>10.44999999999999</v>
      </c>
      <c r="H64" s="112">
        <f t="shared" ref="H64:H75" si="31">F64-C64</f>
        <v>-51.342857142857241</v>
      </c>
      <c r="I64" s="112">
        <f t="shared" ref="I64:I75" si="32">G64-C64</f>
        <v>0.44999999999999041</v>
      </c>
      <c r="J64" s="113">
        <f t="shared" ref="J64:J75" si="33">MAX(ABS(H64),ABS(I64))</f>
        <v>51.342857142857241</v>
      </c>
      <c r="K64" s="114">
        <f>CTC!Q64</f>
        <v>-27.19936575052861</v>
      </c>
      <c r="L64" s="114">
        <f>CTC!R64</f>
        <v>7.4705778717407192</v>
      </c>
      <c r="M64" s="115">
        <f>CTC!Q64-SummaryQuantCTC!C64</f>
        <v>-37.199365750528614</v>
      </c>
      <c r="N64" s="115">
        <f>CTC!R64-SummaryQuantCTC!C64</f>
        <v>-2.5294221282592808</v>
      </c>
      <c r="O64" s="113">
        <f t="shared" ref="O64:O75" si="34">MAX(ABS(M64),ABS(N64))</f>
        <v>37.199365750528614</v>
      </c>
      <c r="P64" s="116" t="str">
        <f t="shared" ref="P64:P75" si="35">IF(OR(E64&lt;J64,E64&lt;O64),"YES","NO")</f>
        <v>YES</v>
      </c>
    </row>
    <row r="65" spans="1:16" x14ac:dyDescent="0.3">
      <c r="A65" s="123"/>
      <c r="B65" s="102" t="s">
        <v>74</v>
      </c>
      <c r="C65" s="103">
        <f>CTC!G65</f>
        <v>45</v>
      </c>
      <c r="D65" s="104">
        <f>CTC!H65</f>
        <v>31.369918782052849</v>
      </c>
      <c r="E65" s="105">
        <f t="shared" si="30"/>
        <v>13.630081217947151</v>
      </c>
      <c r="F65" s="106">
        <f>CTC!M65</f>
        <v>-13.842857142857234</v>
      </c>
      <c r="G65" s="106">
        <f>CTC!N65</f>
        <v>80.449999999999989</v>
      </c>
      <c r="H65" s="104">
        <f t="shared" si="31"/>
        <v>-58.842857142857234</v>
      </c>
      <c r="I65" s="104">
        <f t="shared" si="32"/>
        <v>35.449999999999989</v>
      </c>
      <c r="J65" s="105">
        <f t="shared" si="33"/>
        <v>58.842857142857234</v>
      </c>
      <c r="K65" s="106">
        <f>CTC!Q65</f>
        <v>-4.0016913319239436</v>
      </c>
      <c r="L65" s="106">
        <f>CTC!R65</f>
        <v>59.440274841437876</v>
      </c>
      <c r="M65" s="107">
        <f>CTC!Q65-SummaryQuantCTC!C65</f>
        <v>-49.001691331923944</v>
      </c>
      <c r="N65" s="107">
        <f>CTC!R65-SummaryQuantCTC!C65</f>
        <v>14.440274841437876</v>
      </c>
      <c r="O65" s="105">
        <f t="shared" si="34"/>
        <v>49.001691331923944</v>
      </c>
      <c r="P65" s="108" t="str">
        <f t="shared" si="35"/>
        <v>YES</v>
      </c>
    </row>
    <row r="66" spans="1:16" x14ac:dyDescent="0.3">
      <c r="A66" s="65" t="s">
        <v>18</v>
      </c>
      <c r="B66" s="62" t="s">
        <v>73</v>
      </c>
      <c r="C66" s="67">
        <f>CTC!G66</f>
        <v>2</v>
      </c>
      <c r="D66" s="68">
        <f>CTC!H66</f>
        <v>0.60915609003801996</v>
      </c>
      <c r="E66" s="69">
        <f t="shared" si="30"/>
        <v>1.39084390996198</v>
      </c>
      <c r="F66" s="70">
        <f>CTC!M66</f>
        <v>-3.7990196078431397</v>
      </c>
      <c r="G66" s="70">
        <f>CTC!N66</f>
        <v>2.2892156862745172</v>
      </c>
      <c r="H66" s="68">
        <f t="shared" si="31"/>
        <v>-5.7990196078431397</v>
      </c>
      <c r="I66" s="68">
        <f t="shared" si="32"/>
        <v>0.28921568627451721</v>
      </c>
      <c r="J66" s="69">
        <f t="shared" si="33"/>
        <v>5.7990196078431397</v>
      </c>
      <c r="K66" s="70">
        <f>CTC!Q66</f>
        <v>-2.0823529411764703</v>
      </c>
      <c r="L66" s="70">
        <f>CTC!R66</f>
        <v>2.0647058823529409</v>
      </c>
      <c r="M66" s="71">
        <f>CTC!Q66-SummaryQuantCTC!C66</f>
        <v>-4.0823529411764703</v>
      </c>
      <c r="N66" s="71">
        <f>CTC!R66-SummaryQuantCTC!C66</f>
        <v>6.4705882352940947E-2</v>
      </c>
      <c r="O66" s="69">
        <f t="shared" si="34"/>
        <v>4.0823529411764703</v>
      </c>
      <c r="P66" s="72" t="str">
        <f t="shared" si="35"/>
        <v>YES</v>
      </c>
    </row>
    <row r="67" spans="1:16" x14ac:dyDescent="0.3">
      <c r="A67" s="65"/>
      <c r="B67" s="62" t="s">
        <v>74</v>
      </c>
      <c r="C67" s="67">
        <f>CTC!G67</f>
        <v>15</v>
      </c>
      <c r="D67" s="68">
        <f>CTC!H67</f>
        <v>13.840634558234969</v>
      </c>
      <c r="E67" s="69">
        <f t="shared" si="30"/>
        <v>1.159365441765031</v>
      </c>
      <c r="F67" s="70">
        <f>CTC!M67</f>
        <v>3.4656862745098067</v>
      </c>
      <c r="G67" s="70">
        <f>CTC!N67</f>
        <v>17.455882352941227</v>
      </c>
      <c r="H67" s="68">
        <f t="shared" si="31"/>
        <v>-11.534313725490193</v>
      </c>
      <c r="I67" s="68">
        <f t="shared" si="32"/>
        <v>2.4558823529412273</v>
      </c>
      <c r="J67" s="69">
        <f t="shared" si="33"/>
        <v>11.534313725490193</v>
      </c>
      <c r="K67" s="70">
        <f>CTC!Q67</f>
        <v>5.1823529411764762</v>
      </c>
      <c r="L67" s="70">
        <f>CTC!R67</f>
        <v>15.064705882352941</v>
      </c>
      <c r="M67" s="71">
        <f>CTC!Q67-SummaryQuantCTC!C67</f>
        <v>-9.8176470588235247</v>
      </c>
      <c r="N67" s="71">
        <f>CTC!R67-SummaryQuantCTC!C67</f>
        <v>6.4705882352940947E-2</v>
      </c>
      <c r="O67" s="69">
        <f t="shared" si="34"/>
        <v>9.8176470588235247</v>
      </c>
      <c r="P67" s="72" t="str">
        <f t="shared" si="35"/>
        <v>YES</v>
      </c>
    </row>
    <row r="68" spans="1:16" x14ac:dyDescent="0.3">
      <c r="A68" s="118" t="s">
        <v>19</v>
      </c>
      <c r="B68" s="110" t="s">
        <v>73</v>
      </c>
      <c r="C68" s="128">
        <f>CTC!G68</f>
        <v>175</v>
      </c>
      <c r="D68" s="112">
        <f>CTC!H68</f>
        <v>-160.00719605639426</v>
      </c>
      <c r="E68" s="113">
        <f t="shared" si="30"/>
        <v>335.00719605639426</v>
      </c>
      <c r="F68" s="114">
        <f>CTC!M68</f>
        <v>-945.82939059354885</v>
      </c>
      <c r="G68" s="114">
        <f>CTC!N68</f>
        <v>352.27390000958673</v>
      </c>
      <c r="H68" s="112">
        <f t="shared" si="31"/>
        <v>-1120.8293905935489</v>
      </c>
      <c r="I68" s="112">
        <f t="shared" si="32"/>
        <v>177.27390000958673</v>
      </c>
      <c r="J68" s="113">
        <f t="shared" si="33"/>
        <v>1120.8293905935489</v>
      </c>
      <c r="K68" s="114">
        <f>CTC!Q68</f>
        <v>-714.48099644956494</v>
      </c>
      <c r="L68" s="114">
        <f>CTC!R68</f>
        <v>134.19504103370048</v>
      </c>
      <c r="M68" s="115">
        <f>CTC!Q68-SummaryQuantCTC!C68</f>
        <v>-889.48099644956494</v>
      </c>
      <c r="N68" s="115">
        <f>CTC!R68-SummaryQuantCTC!C68</f>
        <v>-40.804958966299523</v>
      </c>
      <c r="O68" s="113">
        <f t="shared" si="34"/>
        <v>889.48099644956494</v>
      </c>
      <c r="P68" s="116" t="str">
        <f t="shared" si="35"/>
        <v>YES</v>
      </c>
    </row>
    <row r="69" spans="1:16" x14ac:dyDescent="0.3">
      <c r="A69" s="123"/>
      <c r="B69" s="102" t="s">
        <v>74</v>
      </c>
      <c r="C69" s="103">
        <f>CTC!G69</f>
        <v>600</v>
      </c>
      <c r="D69" s="104">
        <f>CTC!H69</f>
        <v>407.28356392687596</v>
      </c>
      <c r="E69" s="105">
        <f t="shared" si="30"/>
        <v>192.71643607312404</v>
      </c>
      <c r="F69" s="106">
        <f>CTC!M69</f>
        <v>-527.08859530636164</v>
      </c>
      <c r="G69" s="106">
        <f>CTC!N69</f>
        <v>1657.4514148024889</v>
      </c>
      <c r="H69" s="104">
        <f t="shared" si="31"/>
        <v>-1127.0885953063616</v>
      </c>
      <c r="I69" s="104">
        <f t="shared" si="32"/>
        <v>1057.4514148024889</v>
      </c>
      <c r="J69" s="105">
        <f t="shared" si="33"/>
        <v>1127.0885953063616</v>
      </c>
      <c r="K69" s="106">
        <f>CTC!Q69</f>
        <v>-283.22262964902802</v>
      </c>
      <c r="L69" s="106">
        <f>CTC!R69</f>
        <v>1144.3399685699328</v>
      </c>
      <c r="M69" s="107">
        <f>CTC!Q69-SummaryQuantCTC!C69</f>
        <v>-883.22262964902802</v>
      </c>
      <c r="N69" s="107">
        <f>CTC!R69-SummaryQuantCTC!C69</f>
        <v>544.33996856993281</v>
      </c>
      <c r="O69" s="105">
        <f t="shared" si="34"/>
        <v>883.22262964902802</v>
      </c>
      <c r="P69" s="108" t="str">
        <f t="shared" si="35"/>
        <v>YES</v>
      </c>
    </row>
    <row r="70" spans="1:16" x14ac:dyDescent="0.3">
      <c r="A70" s="65" t="s">
        <v>20</v>
      </c>
      <c r="B70" s="62" t="s">
        <v>73</v>
      </c>
      <c r="C70" s="67">
        <f>CTC!G70</f>
        <v>160</v>
      </c>
      <c r="D70" s="68">
        <f>CTC!H70</f>
        <v>197.21856186137401</v>
      </c>
      <c r="E70" s="69">
        <f t="shared" si="30"/>
        <v>37.218561861374013</v>
      </c>
      <c r="F70" s="70">
        <f>CTC!M70</f>
        <v>-11.551844556450419</v>
      </c>
      <c r="G70" s="70">
        <f>CTC!N70</f>
        <v>400.56130132797784</v>
      </c>
      <c r="H70" s="68">
        <f t="shared" si="31"/>
        <v>-171.55184455645042</v>
      </c>
      <c r="I70" s="68">
        <f t="shared" si="32"/>
        <v>240.56130132797784</v>
      </c>
      <c r="J70" s="69">
        <f t="shared" si="33"/>
        <v>240.56130132797784</v>
      </c>
      <c r="K70" s="70">
        <f>CTC!Q70</f>
        <v>104.9638885402303</v>
      </c>
      <c r="L70" s="70">
        <f>CTC!R70</f>
        <v>274.02570603740338</v>
      </c>
      <c r="M70" s="71">
        <f>CTC!Q70-SummaryQuantCTC!C70</f>
        <v>-55.0361114597697</v>
      </c>
      <c r="N70" s="71">
        <f>CTC!R70-SummaryQuantCTC!C70</f>
        <v>114.02570603740338</v>
      </c>
      <c r="O70" s="69">
        <f t="shared" si="34"/>
        <v>114.02570603740338</v>
      </c>
      <c r="P70" s="72" t="str">
        <f t="shared" si="35"/>
        <v>YES</v>
      </c>
    </row>
    <row r="71" spans="1:16" x14ac:dyDescent="0.3">
      <c r="A71" s="65"/>
      <c r="B71" s="62" t="s">
        <v>74</v>
      </c>
      <c r="C71" s="67">
        <f>CTC!G71</f>
        <v>350</v>
      </c>
      <c r="D71" s="68">
        <f>CTC!H71</f>
        <v>407.71661693994849</v>
      </c>
      <c r="E71" s="69">
        <f t="shared" si="30"/>
        <v>57.716616939948494</v>
      </c>
      <c r="F71" s="70">
        <f>CTC!M71</f>
        <v>92.69993691623381</v>
      </c>
      <c r="G71" s="70">
        <f>CTC!N71</f>
        <v>708.98948560982046</v>
      </c>
      <c r="H71" s="68">
        <f t="shared" si="31"/>
        <v>-257.30006308376619</v>
      </c>
      <c r="I71" s="68">
        <f t="shared" si="32"/>
        <v>358.98948560982046</v>
      </c>
      <c r="J71" s="69">
        <f t="shared" si="33"/>
        <v>358.98948560982046</v>
      </c>
      <c r="K71" s="70">
        <f>CTC!Q71</f>
        <v>236.92886908497732</v>
      </c>
      <c r="L71" s="70">
        <f>CTC!R71</f>
        <v>488.54183506966029</v>
      </c>
      <c r="M71" s="71">
        <f>CTC!Q71-SummaryQuantCTC!C71</f>
        <v>-113.07113091502268</v>
      </c>
      <c r="N71" s="71">
        <f>CTC!R71-SummaryQuantCTC!C71</f>
        <v>138.54183506966029</v>
      </c>
      <c r="O71" s="69">
        <f t="shared" si="34"/>
        <v>138.54183506966029</v>
      </c>
      <c r="P71" s="72" t="str">
        <f t="shared" si="35"/>
        <v>YES</v>
      </c>
    </row>
    <row r="72" spans="1:16" x14ac:dyDescent="0.3">
      <c r="A72" s="118" t="s">
        <v>22</v>
      </c>
      <c r="B72" s="110" t="s">
        <v>73</v>
      </c>
      <c r="C72" s="128">
        <f>CTC!G72</f>
        <v>0.32</v>
      </c>
      <c r="D72" s="115">
        <f>CTC!H72</f>
        <v>0.55563391139921381</v>
      </c>
      <c r="E72" s="129">
        <f t="shared" si="30"/>
        <v>0.2356339113992138</v>
      </c>
      <c r="F72" s="130">
        <f>CTC!M72</f>
        <v>7.6666666666666994E-2</v>
      </c>
      <c r="G72" s="130">
        <f>CTC!N72</f>
        <v>0.97516666666666563</v>
      </c>
      <c r="H72" s="115">
        <f t="shared" si="31"/>
        <v>-0.24333333333333301</v>
      </c>
      <c r="I72" s="115">
        <f t="shared" si="32"/>
        <v>0.65516666666666556</v>
      </c>
      <c r="J72" s="129">
        <f t="shared" si="33"/>
        <v>0.65516666666666556</v>
      </c>
      <c r="K72" s="130">
        <f>CTC!Q72</f>
        <v>0.28865171933828493</v>
      </c>
      <c r="L72" s="130">
        <f>CTC!R72</f>
        <v>0.92704947843586205</v>
      </c>
      <c r="M72" s="115">
        <f>CTC!Q72-SummaryQuantCTC!C72</f>
        <v>-3.1348280661715078E-2</v>
      </c>
      <c r="N72" s="115">
        <f>CTC!R72-SummaryQuantCTC!C72</f>
        <v>0.60704947843586199</v>
      </c>
      <c r="O72" s="129">
        <f t="shared" si="34"/>
        <v>0.60704947843586199</v>
      </c>
      <c r="P72" s="116" t="str">
        <f t="shared" si="35"/>
        <v>YES</v>
      </c>
    </row>
    <row r="73" spans="1:16" x14ac:dyDescent="0.3">
      <c r="A73" s="123"/>
      <c r="B73" s="102" t="s">
        <v>74</v>
      </c>
      <c r="C73" s="103">
        <f>CTC!G73</f>
        <v>0.9</v>
      </c>
      <c r="D73" s="107">
        <f>CTC!H73</f>
        <v>1.150711559581916</v>
      </c>
      <c r="E73" s="131">
        <f t="shared" si="30"/>
        <v>0.25071155958191593</v>
      </c>
      <c r="F73" s="132">
        <f>CTC!M73</f>
        <v>0.51166666666666705</v>
      </c>
      <c r="G73" s="132">
        <f>CTC!N73</f>
        <v>2.0384999999999969</v>
      </c>
      <c r="H73" s="107">
        <f t="shared" si="31"/>
        <v>-0.38833333333333298</v>
      </c>
      <c r="I73" s="107">
        <f t="shared" si="32"/>
        <v>1.138499999999997</v>
      </c>
      <c r="J73" s="131">
        <f t="shared" si="33"/>
        <v>1.138499999999997</v>
      </c>
      <c r="K73" s="132">
        <f>CTC!Q73</f>
        <v>0.65211538095596899</v>
      </c>
      <c r="L73" s="132">
        <f>CTC!R73</f>
        <v>1.733020051884929</v>
      </c>
      <c r="M73" s="107">
        <f>CTC!Q73-SummaryQuantCTC!C73</f>
        <v>-0.24788461904403103</v>
      </c>
      <c r="N73" s="107">
        <f>CTC!R73-SummaryQuantCTC!C73</f>
        <v>0.833020051884929</v>
      </c>
      <c r="O73" s="131">
        <f t="shared" si="34"/>
        <v>0.833020051884929</v>
      </c>
      <c r="P73" s="108" t="str">
        <f t="shared" si="35"/>
        <v>YES</v>
      </c>
    </row>
    <row r="74" spans="1:16" x14ac:dyDescent="0.3">
      <c r="A74" s="65" t="s">
        <v>21</v>
      </c>
      <c r="B74" s="62" t="s">
        <v>73</v>
      </c>
      <c r="C74" s="88">
        <f>CTC!G74</f>
        <v>0.5</v>
      </c>
      <c r="D74" s="71">
        <f>CTC!H74</f>
        <v>0.59842403670507505</v>
      </c>
      <c r="E74" s="84">
        <f t="shared" si="30"/>
        <v>9.8424036705075046E-2</v>
      </c>
      <c r="F74" s="85">
        <f>CTC!M74</f>
        <v>0.3342603320381502</v>
      </c>
      <c r="G74" s="85">
        <f>CTC!N74</f>
        <v>0.99838996820911508</v>
      </c>
      <c r="H74" s="71">
        <f t="shared" si="31"/>
        <v>-0.1657396679618498</v>
      </c>
      <c r="I74" s="71">
        <f t="shared" si="32"/>
        <v>0.49838996820911508</v>
      </c>
      <c r="J74" s="84">
        <f t="shared" si="33"/>
        <v>0.49838996820911508</v>
      </c>
      <c r="K74" s="85">
        <f>CTC!Q74</f>
        <v>0.36874585418506522</v>
      </c>
      <c r="L74" s="85">
        <f>CTC!R74</f>
        <v>0.92679285644196097</v>
      </c>
      <c r="M74" s="71">
        <f>CTC!Q74-SummaryQuantCTC!C74</f>
        <v>-0.13125414581493478</v>
      </c>
      <c r="N74" s="71">
        <f>CTC!R74-SummaryQuantCTC!C74</f>
        <v>0.42679285644196097</v>
      </c>
      <c r="O74" s="84">
        <f t="shared" si="34"/>
        <v>0.42679285644196097</v>
      </c>
      <c r="P74" s="72" t="str">
        <f t="shared" si="35"/>
        <v>YES</v>
      </c>
    </row>
    <row r="75" spans="1:16" ht="15" thickBot="1" x14ac:dyDescent="0.35">
      <c r="A75" s="66"/>
      <c r="B75" s="73" t="s">
        <v>74</v>
      </c>
      <c r="C75" s="74">
        <f>CTC!G75</f>
        <v>0.99</v>
      </c>
      <c r="D75" s="75">
        <f>CTC!H75</f>
        <v>1.0364499962875759</v>
      </c>
      <c r="E75" s="86">
        <f t="shared" si="30"/>
        <v>4.6449996287575956E-2</v>
      </c>
      <c r="F75" s="87">
        <f>CTC!M75</f>
        <v>0.60721335217237848</v>
      </c>
      <c r="G75" s="87">
        <f>CTC!N75</f>
        <v>1.5399689155775376</v>
      </c>
      <c r="H75" s="75">
        <f t="shared" si="31"/>
        <v>-0.38278664782762151</v>
      </c>
      <c r="I75" s="75">
        <f t="shared" si="32"/>
        <v>0.54996891557753758</v>
      </c>
      <c r="J75" s="86">
        <f t="shared" si="33"/>
        <v>0.54996891557753758</v>
      </c>
      <c r="K75" s="87">
        <f>CTC!Q75</f>
        <v>0.66882337356491028</v>
      </c>
      <c r="L75" s="87">
        <f>CTC!R75</f>
        <v>1.447805514669811</v>
      </c>
      <c r="M75" s="75">
        <f>CTC!Q75-SummaryQuantCTC!C75</f>
        <v>-0.32117662643508971</v>
      </c>
      <c r="N75" s="75">
        <f>CTC!R75-SummaryQuantCTC!C75</f>
        <v>0.45780551466981101</v>
      </c>
      <c r="O75" s="86">
        <f t="shared" si="34"/>
        <v>0.45780551466981101</v>
      </c>
      <c r="P75" s="76" t="str">
        <f t="shared" si="35"/>
        <v>YES</v>
      </c>
    </row>
  </sheetData>
  <conditionalFormatting sqref="P4:P25">
    <cfRule type="containsText" dxfId="2" priority="3" operator="containsText" text="NO">
      <formula>NOT(ISERROR(SEARCH("NO",P4)))</formula>
    </cfRule>
  </conditionalFormatting>
  <conditionalFormatting sqref="P29:P50">
    <cfRule type="containsText" dxfId="1" priority="2" operator="containsText" text="NO">
      <formula>NOT(ISERROR(SEARCH("NO",P29)))</formula>
    </cfRule>
  </conditionalFormatting>
  <conditionalFormatting sqref="P54:P75">
    <cfRule type="containsText" dxfId="0" priority="1" operator="containsText" text="NO">
      <formula>NOT(ISERROR(SEARCH("NO",P54)))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FE33-DF3B-4BF3-A245-E865E12B436A}">
  <dimension ref="A1:W84"/>
  <sheetViews>
    <sheetView zoomScale="60" zoomScaleNormal="60" workbookViewId="0">
      <selection activeCell="V67" sqref="V67"/>
    </sheetView>
  </sheetViews>
  <sheetFormatPr defaultRowHeight="14.4" x14ac:dyDescent="0.3"/>
  <cols>
    <col min="1" max="1" width="24.33203125" customWidth="1"/>
    <col min="2" max="2" width="28.109375" customWidth="1"/>
    <col min="3" max="3" width="24.77734375" style="2" customWidth="1"/>
    <col min="4" max="4" width="26.109375" customWidth="1"/>
    <col min="5" max="5" width="26.21875" customWidth="1"/>
    <col min="6" max="6" width="22" customWidth="1"/>
    <col min="7" max="7" width="12.21875" customWidth="1"/>
    <col min="8" max="8" width="13.88671875" customWidth="1"/>
    <col min="9" max="9" width="15.44140625" customWidth="1"/>
    <col min="10" max="10" width="16.88671875" customWidth="1"/>
    <col min="11" max="11" width="15.21875" customWidth="1"/>
    <col min="12" max="14" width="16.88671875" customWidth="1"/>
    <col min="15" max="15" width="15" customWidth="1"/>
    <col min="16" max="17" width="16.88671875" customWidth="1"/>
    <col min="18" max="18" width="20.6640625" customWidth="1"/>
    <col min="19" max="21" width="8.88671875" customWidth="1"/>
  </cols>
  <sheetData>
    <row r="1" spans="1:23" ht="55.2" customHeight="1" thickBot="1" x14ac:dyDescent="0.35">
      <c r="A1" t="s">
        <v>1</v>
      </c>
      <c r="B1" s="1" t="s">
        <v>36</v>
      </c>
      <c r="C1" s="1" t="s">
        <v>29</v>
      </c>
      <c r="D1" s="1" t="s">
        <v>30</v>
      </c>
      <c r="E1" s="1" t="s">
        <v>31</v>
      </c>
      <c r="F1" s="1" t="s">
        <v>25</v>
      </c>
      <c r="G1" s="1" t="s">
        <v>65</v>
      </c>
      <c r="H1" s="21" t="s">
        <v>62</v>
      </c>
      <c r="I1" s="21" t="s">
        <v>63</v>
      </c>
      <c r="J1" s="21" t="s">
        <v>64</v>
      </c>
      <c r="K1" s="63" t="s">
        <v>30</v>
      </c>
      <c r="L1" s="63" t="s">
        <v>61</v>
      </c>
      <c r="M1" s="63" t="s">
        <v>59</v>
      </c>
      <c r="N1" s="63" t="s">
        <v>60</v>
      </c>
      <c r="O1" s="49" t="s">
        <v>31</v>
      </c>
      <c r="P1" s="49" t="s">
        <v>61</v>
      </c>
      <c r="Q1" s="49" t="s">
        <v>59</v>
      </c>
      <c r="R1" s="49" t="s">
        <v>60</v>
      </c>
    </row>
    <row r="2" spans="1:23" x14ac:dyDescent="0.3">
      <c r="A2" s="4" t="s">
        <v>142</v>
      </c>
      <c r="B2" s="161" t="s">
        <v>4</v>
      </c>
      <c r="C2" s="149" t="str">
        <f>'Intermediate CTC'!C2</f>
        <v>-71.98 (-148.89, -16.70)</v>
      </c>
      <c r="D2" s="149" t="str">
        <f>'Intermediate CTC'!G2</f>
        <v>-160.31 (-232.08, -99.04)</v>
      </c>
      <c r="E2" s="150" t="str">
        <f>'Intermediate CTC'!K2</f>
        <v>-60.70 (-129.85, -12.04)</v>
      </c>
      <c r="F2" s="1"/>
      <c r="G2" s="1">
        <v>2000</v>
      </c>
      <c r="H2" s="176">
        <f>'Intermediate CTC'!D2+CTC!$G2*'Intermediate CTC'!D3</f>
        <v>2036.8207722217953</v>
      </c>
      <c r="I2" s="177">
        <f>'Intermediate CTC'!E2+CTC!$G2*'Intermediate CTC'!E3</f>
        <v>1928.0695149808009</v>
      </c>
      <c r="J2" s="177">
        <f>'Intermediate CTC'!F2+CTC!$G2*'Intermediate CTC'!F3</f>
        <v>2138.2189770722534</v>
      </c>
      <c r="K2" s="153"/>
      <c r="L2" s="177">
        <f>'Intermediate CTC'!H2+CTC!$G2*'Intermediate CTC'!H3</f>
        <v>2015.3024390243891</v>
      </c>
      <c r="M2" s="177">
        <f>'Intermediate CTC'!I2+CTC!$G2*'Intermediate CTC'!I3</f>
        <v>1907.5292008137922</v>
      </c>
      <c r="N2" s="177">
        <f>'Intermediate CTC'!J2+CTC!$G2*'Intermediate CTC'!J3</f>
        <v>2113.9603858959426</v>
      </c>
      <c r="O2" s="153"/>
      <c r="P2" s="177">
        <f>'Intermediate CTC'!L2+CTC!$G2*'Intermediate CTC'!L3</f>
        <v>2023.4775036284432</v>
      </c>
      <c r="Q2" s="177">
        <f>'Intermediate CTC'!M2+CTC!$G2*'Intermediate CTC'!M3</f>
        <v>1928.7226340735069</v>
      </c>
      <c r="R2" s="177">
        <f>'Intermediate CTC'!N2+CTC!$G2*'Intermediate CTC'!N3</f>
        <v>2115.2057385255562</v>
      </c>
    </row>
    <row r="3" spans="1:23" x14ac:dyDescent="0.3">
      <c r="A3" s="6"/>
      <c r="B3" s="162" t="s">
        <v>5</v>
      </c>
      <c r="C3" s="194" t="str">
        <f>'Intermediate CTC'!C3</f>
        <v>1.05 (1.04, 1.08)</v>
      </c>
      <c r="D3" s="151" t="str">
        <f>'Intermediate CTC'!G3</f>
        <v>1.09 (1.07, 1.11)</v>
      </c>
      <c r="E3" s="152" t="str">
        <f>'Intermediate CTC'!K3</f>
        <v>1.04 (1.03, 1.06)</v>
      </c>
      <c r="F3" s="1"/>
      <c r="G3" s="1">
        <v>6100</v>
      </c>
      <c r="H3" s="176">
        <f>'Intermediate CTC'!D2+CTC!$G3*'Intermediate CTC'!D3</f>
        <v>6359.8594499397332</v>
      </c>
      <c r="I3" s="177">
        <f>'Intermediate CTC'!E2+CTC!$G3*'Intermediate CTC'!E3</f>
        <v>6185.845067196381</v>
      </c>
      <c r="J3" s="177">
        <f>'Intermediate CTC'!F2+CTC!$G3*'Intermediate CTC'!F3</f>
        <v>6555.8103594671793</v>
      </c>
      <c r="K3" s="153"/>
      <c r="L3" s="177">
        <f>'Intermediate CTC'!H2+CTC!$G3*'Intermediate CTC'!H3</f>
        <v>6475.3024390243863</v>
      </c>
      <c r="M3" s="177">
        <f>'Intermediate CTC'!I2+CTC!$G3*'Intermediate CTC'!I3</f>
        <v>6293.7341869633947</v>
      </c>
      <c r="N3" s="177">
        <f>'Intermediate CTC'!J2+CTC!$G3*'Intermediate CTC'!J3</f>
        <v>6650.6132213039555</v>
      </c>
      <c r="O3" s="153"/>
      <c r="P3" s="177">
        <f>'Intermediate CTC'!L2+CTC!$G3*'Intermediate CTC'!L3</f>
        <v>6296.0464441219037</v>
      </c>
      <c r="Q3" s="177">
        <f>'Intermediate CTC'!M2+CTC!$G3*'Intermediate CTC'!M3</f>
        <v>6148.8063160818738</v>
      </c>
      <c r="R3" s="177">
        <f>'Intermediate CTC'!N2+CTC!$G3*'Intermediate CTC'!N3</f>
        <v>6476.0632765615228</v>
      </c>
    </row>
    <row r="4" spans="1:23" x14ac:dyDescent="0.3">
      <c r="A4" s="5" t="s">
        <v>104</v>
      </c>
      <c r="B4" s="6" t="s">
        <v>4</v>
      </c>
      <c r="C4" s="191" t="str">
        <f>'Intermediate CTC'!C4</f>
        <v>-47.64 (-64.32, -36.45)</v>
      </c>
      <c r="D4" s="50" t="str">
        <f>'Intermediate CTC'!G4</f>
        <v>0.81 (-20.53, 11.54)</v>
      </c>
      <c r="E4" s="96" t="str">
        <f>'Intermediate CTC'!K4</f>
        <v>-45.72 (-78.00, -27.12)</v>
      </c>
      <c r="F4" s="16"/>
      <c r="G4" s="20">
        <v>400</v>
      </c>
      <c r="H4" s="36">
        <f>'Intermediate CTC'!D4+CTC!$G4*'Intermediate CTC'!D5</f>
        <v>348.38168118270744</v>
      </c>
      <c r="I4" s="32">
        <f>'Intermediate CTC'!E4+CTC!$G4*'Intermediate CTC'!E5</f>
        <v>326.42316025197277</v>
      </c>
      <c r="J4" s="32">
        <f>'Intermediate CTC'!F4+CTC!$G4*'Intermediate CTC'!F5</f>
        <v>367.96647564940105</v>
      </c>
      <c r="K4" s="30"/>
      <c r="L4" s="32">
        <f>'Intermediate CTC'!H4+CTC!$G4*'Intermediate CTC'!H5</f>
        <v>359.46648044692751</v>
      </c>
      <c r="M4" s="32">
        <f>'Intermediate CTC'!I4+CTC!$G4*'Intermediate CTC'!I5</f>
        <v>331.73457867407848</v>
      </c>
      <c r="N4" s="32">
        <f>'Intermediate CTC'!J4+CTC!$G4*'Intermediate CTC'!J5</f>
        <v>380.129597311098</v>
      </c>
      <c r="O4" s="30"/>
      <c r="P4" s="32">
        <f>'Intermediate CTC'!L4+CTC!$G4*'Intermediate CTC'!L5</f>
        <v>338.43564356435633</v>
      </c>
      <c r="Q4" s="29">
        <f>'Intermediate CTC'!M4+CTC!$G4*'Intermediate CTC'!M5</f>
        <v>296.72118959107809</v>
      </c>
      <c r="R4" s="29">
        <f>'Intermediate CTC'!N4+CTC!$G4*'Intermediate CTC'!N5</f>
        <v>372.88104089219331</v>
      </c>
      <c r="S4" s="14" t="s">
        <v>37</v>
      </c>
    </row>
    <row r="5" spans="1:23" x14ac:dyDescent="0.3">
      <c r="A5" s="5"/>
      <c r="B5" s="6" t="s">
        <v>5</v>
      </c>
      <c r="C5" s="20" t="str">
        <f>'Intermediate CTC'!C5</f>
        <v>0.99 (0.98, 1.01)</v>
      </c>
      <c r="D5" s="94" t="str">
        <f>'Intermediate CTC'!G5</f>
        <v>0.90 (0.88, 0.92)</v>
      </c>
      <c r="E5" s="96" t="str">
        <f>'Intermediate CTC'!K5</f>
        <v>0.96 (0.94, 1.00)</v>
      </c>
      <c r="F5" s="16"/>
      <c r="G5" s="20">
        <v>1075</v>
      </c>
      <c r="H5" s="36">
        <f>'Intermediate CTC'!D4+CTC!$G5*'Intermediate CTC'!D5</f>
        <v>1016.6670615880828</v>
      </c>
      <c r="I5" s="32">
        <f>'Intermediate CTC'!E4+CTC!$G5*'Intermediate CTC'!E5</f>
        <v>985.80991469235425</v>
      </c>
      <c r="J5" s="32">
        <f>'Intermediate CTC'!F4+CTC!$G5*'Intermediate CTC'!F5</f>
        <v>1050.4173350591802</v>
      </c>
      <c r="K5" s="30"/>
      <c r="L5" s="32">
        <f>'Intermediate CTC'!H4+CTC!$G5*'Intermediate CTC'!H5</f>
        <v>964.70391061452563</v>
      </c>
      <c r="M5" s="32">
        <f>'Intermediate CTC'!I4+CTC!$G5*'Intermediate CTC'!I5</f>
        <v>926.17902311852311</v>
      </c>
      <c r="N5" s="32">
        <f>'Intermediate CTC'!J4+CTC!$G5*'Intermediate CTC'!J5</f>
        <v>1002.1191261069092</v>
      </c>
      <c r="O5" s="30"/>
      <c r="P5" s="32">
        <f>'Intermediate CTC'!L4+CTC!$G5*'Intermediate CTC'!L5</f>
        <v>986.70297029702942</v>
      </c>
      <c r="Q5" s="29">
        <f>'Intermediate CTC'!M4+CTC!$G5*'Intermediate CTC'!M5</f>
        <v>929.06319702602218</v>
      </c>
      <c r="R5" s="29">
        <f>'Intermediate CTC'!N4+CTC!$G5*'Intermediate CTC'!N5</f>
        <v>1047.8810408921934</v>
      </c>
      <c r="T5" t="s">
        <v>38</v>
      </c>
    </row>
    <row r="6" spans="1:23" x14ac:dyDescent="0.3">
      <c r="A6" s="5" t="s">
        <v>11</v>
      </c>
      <c r="B6" s="6" t="s">
        <v>4</v>
      </c>
      <c r="C6" s="20" t="str">
        <f>'Intermediate CTC'!C6</f>
        <v>148.56 (110.13, 208.50)</v>
      </c>
      <c r="D6" s="94" t="str">
        <f>'Intermediate CTC'!G6</f>
        <v>244.42 (212.54, 283.05)</v>
      </c>
      <c r="E6" s="96" t="str">
        <f>'Intermediate CTC'!K6</f>
        <v>-73.32 (-124.80, 4.82)</v>
      </c>
      <c r="F6" s="16"/>
      <c r="G6" s="20">
        <v>675</v>
      </c>
      <c r="H6" s="37">
        <f>'Intermediate CTC'!D6+CTC!$G6*'Intermediate CTC'!D7</f>
        <v>696.91265112850965</v>
      </c>
      <c r="I6" s="33">
        <f>'Intermediate CTC'!E6+CTC!$G6*'Intermediate CTC'!E7</f>
        <v>625.86447341227711</v>
      </c>
      <c r="J6" s="33">
        <f>'Intermediate CTC'!F6+CTC!$G6*'Intermediate CTC'!F7</f>
        <v>782.42018190863746</v>
      </c>
      <c r="K6" s="16"/>
      <c r="L6" s="32">
        <f>'Intermediate CTC'!H6+CTC!$G6*'Intermediate CTC'!H7</f>
        <v>666.66519823788553</v>
      </c>
      <c r="M6" s="32">
        <f>'Intermediate CTC'!I6+CTC!$G6*'Intermediate CTC'!I7</f>
        <v>611.94926763022568</v>
      </c>
      <c r="N6" s="32">
        <f>'Intermediate CTC'!J6+CTC!$G6*'Intermediate CTC'!J7</f>
        <v>725.67028809777935</v>
      </c>
      <c r="O6" s="31"/>
      <c r="P6" s="32">
        <f>'Intermediate CTC'!L6+CTC!$G6*'Intermediate CTC'!L7</f>
        <v>565.46341463414637</v>
      </c>
      <c r="Q6" s="32">
        <f>'Intermediate CTC'!M6+CTC!$G6*'Intermediate CTC'!M7</f>
        <v>467.7000000000001</v>
      </c>
      <c r="R6" s="32">
        <f>'Intermediate CTC'!N6+CTC!$G6*'Intermediate CTC'!N7</f>
        <v>675.16704980842894</v>
      </c>
      <c r="U6" t="s">
        <v>42</v>
      </c>
    </row>
    <row r="7" spans="1:23" x14ac:dyDescent="0.3">
      <c r="A7" s="5"/>
      <c r="B7" s="6" t="s">
        <v>5</v>
      </c>
      <c r="C7" s="18" t="str">
        <f>'Intermediate CTC'!C7</f>
        <v>0.81 (0.76, 0.85)</v>
      </c>
      <c r="D7" s="94" t="str">
        <f>'Intermediate CTC'!G7</f>
        <v>0.63 (0.59, 0.66)</v>
      </c>
      <c r="E7" s="96" t="str">
        <f>'Intermediate CTC'!K7</f>
        <v>0.95 (0.88, 0.99)</v>
      </c>
      <c r="F7" s="17"/>
      <c r="G7" s="41">
        <v>1500</v>
      </c>
      <c r="H7" s="37">
        <f>'Intermediate CTC'!D6+CTC!$G7*'Intermediate CTC'!D7</f>
        <v>1367.118318817636</v>
      </c>
      <c r="I7" s="33">
        <f>'Intermediate CTC'!E6+CTC!$G7*'Intermediate CTC'!E7</f>
        <v>1256.2101135878791</v>
      </c>
      <c r="J7" s="33">
        <f>'Intermediate CTC'!F6+CTC!$G7*'Intermediate CTC'!F7</f>
        <v>1483.8824616953129</v>
      </c>
      <c r="K7" s="17"/>
      <c r="L7" s="33">
        <f>'Intermediate CTC'!H6+CTC!$G7*'Intermediate CTC'!H7</f>
        <v>1182.7444933920708</v>
      </c>
      <c r="M7" s="33">
        <f>'Intermediate CTC'!I6+CTC!$G7*'Intermediate CTC'!I7</f>
        <v>1100.1149481035984</v>
      </c>
      <c r="N7" s="33">
        <f>'Intermediate CTC'!J6+CTC!$G7*'Intermediate CTC'!J7</f>
        <v>1266.6538946551564</v>
      </c>
      <c r="O7" s="31"/>
      <c r="P7" s="33">
        <f>'Intermediate CTC'!L6+CTC!$G7*'Intermediate CTC'!L7</f>
        <v>1346.1951219512196</v>
      </c>
      <c r="Q7" s="33">
        <f>'Intermediate CTC'!M6+CTC!$G7*'Intermediate CTC'!M7</f>
        <v>1191.866666666667</v>
      </c>
      <c r="R7" s="33">
        <f>'Intermediate CTC'!N6+CTC!$G7*'Intermediate CTC'!N7</f>
        <v>1494.4773946360151</v>
      </c>
      <c r="V7" t="s">
        <v>43</v>
      </c>
    </row>
    <row r="8" spans="1:23" x14ac:dyDescent="0.3">
      <c r="A8" s="5" t="s">
        <v>13</v>
      </c>
      <c r="B8" s="6" t="s">
        <v>4</v>
      </c>
      <c r="C8" s="18" t="str">
        <f>'Intermediate CTC'!C8</f>
        <v>2.58 (-0.18, 4.80)</v>
      </c>
      <c r="D8" s="94" t="str">
        <f>'Intermediate CTC'!G8</f>
        <v>*3.69 (0.00, 0.00)</v>
      </c>
      <c r="E8" s="96" t="str">
        <f>'Intermediate CTC'!K8</f>
        <v>*4.78 (0.00, 0.00)</v>
      </c>
      <c r="F8" s="17"/>
      <c r="G8" s="41"/>
      <c r="H8" s="38"/>
      <c r="I8" s="17"/>
      <c r="J8" s="17"/>
      <c r="K8" s="17"/>
      <c r="L8" s="17"/>
      <c r="M8" s="17"/>
      <c r="N8" s="17"/>
      <c r="W8" t="s">
        <v>40</v>
      </c>
    </row>
    <row r="9" spans="1:23" x14ac:dyDescent="0.3">
      <c r="A9" s="5"/>
      <c r="B9" s="6" t="s">
        <v>5</v>
      </c>
      <c r="C9" s="18" t="str">
        <f>'Intermediate CTC'!C9</f>
        <v>1.25 (0.95, 1.52)</v>
      </c>
      <c r="D9" s="94" t="str">
        <f>'Intermediate CTC'!G9</f>
        <v>*1.05 (0.86, 1.29)</v>
      </c>
      <c r="E9" s="96" t="str">
        <f>'Intermediate CTC'!K9</f>
        <v>*1.43 (1.06, 1.93)</v>
      </c>
      <c r="F9" s="17"/>
      <c r="G9" s="41"/>
      <c r="H9" s="38"/>
      <c r="I9" s="17"/>
      <c r="J9" s="17"/>
      <c r="K9" s="17"/>
      <c r="L9" s="17"/>
      <c r="M9" s="17"/>
      <c r="N9" s="17"/>
      <c r="V9" t="s">
        <v>44</v>
      </c>
    </row>
    <row r="10" spans="1:23" x14ac:dyDescent="0.3">
      <c r="A10" s="5" t="s">
        <v>14</v>
      </c>
      <c r="B10" s="6" t="s">
        <v>4</v>
      </c>
      <c r="C10" s="18" t="str">
        <f>'Intermediate CTC'!C10</f>
        <v>65.36 (24.14, 147.70)</v>
      </c>
      <c r="D10" s="94" t="str">
        <f>'Intermediate CTC'!G10</f>
        <v>206.84 (158.50, 258.46)</v>
      </c>
      <c r="E10" s="96" t="str">
        <f>'Intermediate CTC'!K10</f>
        <v>-108.41 (-206.23, -38.96)</v>
      </c>
      <c r="F10" s="17"/>
      <c r="G10" s="41">
        <v>1000</v>
      </c>
      <c r="H10" s="39">
        <f>'Intermediate CTC'!D10+CTC!$G10*'Intermediate CTC'!D11</f>
        <v>972.39059536881211</v>
      </c>
      <c r="I10" s="34">
        <f>'Intermediate CTC'!E10+CTC!$G10*'Intermediate CTC'!E11</f>
        <v>890.30677605598953</v>
      </c>
      <c r="J10" s="34">
        <f>'Intermediate CTC'!F10+CTC!$G10*'Intermediate CTC'!F11</f>
        <v>1076.6262954738891</v>
      </c>
      <c r="K10" s="34"/>
      <c r="L10" s="34">
        <f>'Intermediate CTC'!H10+CTC!$G10*'Intermediate CTC'!H11</f>
        <v>964.83561643835594</v>
      </c>
      <c r="M10" s="34">
        <f>'Intermediate CTC'!I10+CTC!$G10*'Intermediate CTC'!I11</f>
        <v>891.08379706327889</v>
      </c>
      <c r="N10" s="34">
        <f>'Intermediate CTC'!J10+CTC!$G10*'Intermediate CTC'!J11</f>
        <v>1042.290330345638</v>
      </c>
      <c r="O10" s="35"/>
      <c r="P10" s="34">
        <f>'Intermediate CTC'!L10+CTC!$G10*'Intermediate CTC'!L11</f>
        <v>841.46174142480209</v>
      </c>
      <c r="Q10" s="34">
        <f>'Intermediate CTC'!M10+CTC!$G10*'Intermediate CTC'!M11</f>
        <v>709.09028602759702</v>
      </c>
      <c r="R10" s="34">
        <f>'Intermediate CTC'!N10+CTC!$G10*'Intermediate CTC'!N11</f>
        <v>963.87721602850979</v>
      </c>
      <c r="W10" t="s">
        <v>45</v>
      </c>
    </row>
    <row r="11" spans="1:23" x14ac:dyDescent="0.3">
      <c r="A11" s="5"/>
      <c r="B11" s="6" t="s">
        <v>5</v>
      </c>
      <c r="C11" s="18" t="str">
        <f>'Intermediate CTC'!C11</f>
        <v>0.91 (0.87, 0.93)</v>
      </c>
      <c r="D11" s="94" t="str">
        <f>'Intermediate CTC'!G11</f>
        <v>0.76 (0.73, 0.78)</v>
      </c>
      <c r="E11" s="96" t="str">
        <f>'Intermediate CTC'!K11</f>
        <v>0.95 (0.92, 1.00)</v>
      </c>
      <c r="F11" s="17"/>
      <c r="G11" s="41">
        <v>2600</v>
      </c>
      <c r="H11" s="39">
        <f>'Intermediate CTC'!D10+CTC!$G11*'Intermediate CTC'!D11</f>
        <v>2423.6341475653403</v>
      </c>
      <c r="I11" s="34">
        <f>'Intermediate CTC'!E10+CTC!$G11*'Intermediate CTC'!E11</f>
        <v>2276.1714303969898</v>
      </c>
      <c r="J11" s="34">
        <f>'Intermediate CTC'!F10+CTC!$G11*'Intermediate CTC'!F11</f>
        <v>2562.9116747709545</v>
      </c>
      <c r="K11" s="34"/>
      <c r="L11" s="34">
        <f>'Intermediate CTC'!H10+CTC!$G11*'Intermediate CTC'!H11</f>
        <v>2177.6210045662101</v>
      </c>
      <c r="M11" s="34">
        <f>'Intermediate CTC'!I10+CTC!$G11*'Intermediate CTC'!I11</f>
        <v>2063.2118573269317</v>
      </c>
      <c r="N11" s="34">
        <f>'Intermediate CTC'!J10+CTC!$G11*'Intermediate CTC'!J11</f>
        <v>2296.4256686915019</v>
      </c>
      <c r="O11" s="35"/>
      <c r="P11" s="34">
        <f>'Intermediate CTC'!L10+CTC!$G11*'Intermediate CTC'!L11</f>
        <v>2361.2506596306071</v>
      </c>
      <c r="Q11" s="34">
        <f>'Intermediate CTC'!M10+CTC!$G11*'Intermediate CTC'!M11</f>
        <v>2173.6064150598545</v>
      </c>
      <c r="R11" s="34">
        <f>'Intermediate CTC'!N10+CTC!$G11*'Intermediate CTC'!N11</f>
        <v>2568.40979393219</v>
      </c>
    </row>
    <row r="12" spans="1:23" x14ac:dyDescent="0.3">
      <c r="A12" s="5" t="s">
        <v>15</v>
      </c>
      <c r="B12" s="6" t="s">
        <v>4</v>
      </c>
      <c r="C12" s="18" t="str">
        <f>'Intermediate CTC'!C12</f>
        <v>-0.69 (-2.22, 0.07)</v>
      </c>
      <c r="D12" s="94" t="str">
        <f>'Intermediate CTC'!G12</f>
        <v>*0.76 (0.00, 0.00)</v>
      </c>
      <c r="E12" s="96" t="str">
        <f>'Intermediate CTC'!K12</f>
        <v>*-0.11 (0.00, 0.00)</v>
      </c>
      <c r="F12" s="17"/>
      <c r="G12" s="41"/>
      <c r="H12" s="38"/>
      <c r="I12" s="17"/>
      <c r="J12" s="17"/>
      <c r="K12" s="17"/>
      <c r="L12" s="17"/>
      <c r="M12" s="17"/>
      <c r="N12" s="17"/>
      <c r="T12" t="s">
        <v>46</v>
      </c>
    </row>
    <row r="13" spans="1:23" x14ac:dyDescent="0.3">
      <c r="A13" s="5"/>
      <c r="B13" s="6" t="s">
        <v>5</v>
      </c>
      <c r="C13" s="18" t="str">
        <f>'Intermediate CTC'!C13</f>
        <v>0.99 (0.93, 1.12)</v>
      </c>
      <c r="D13" s="94" t="str">
        <f>'Intermediate CTC'!G13</f>
        <v>*0.87 (0.68, 1.12)</v>
      </c>
      <c r="E13" s="96" t="str">
        <f>'Intermediate CTC'!K13</f>
        <v>*0.89 (0.68, 1.18)</v>
      </c>
      <c r="F13" s="17"/>
      <c r="G13" s="41"/>
      <c r="H13" s="38"/>
      <c r="I13" s="17"/>
      <c r="J13" s="17"/>
      <c r="K13" s="17"/>
      <c r="L13" s="17"/>
      <c r="M13" s="17"/>
      <c r="N13" s="17"/>
      <c r="U13" t="s">
        <v>41</v>
      </c>
    </row>
    <row r="14" spans="1:23" x14ac:dyDescent="0.3">
      <c r="A14" s="5" t="s">
        <v>16</v>
      </c>
      <c r="B14" s="6" t="s">
        <v>4</v>
      </c>
      <c r="C14" s="18" t="str">
        <f>'Intermediate CTC'!C14</f>
        <v>3.38 (0.44, 6.06)</v>
      </c>
      <c r="D14" s="50" t="str">
        <f>'Intermediate CTC'!G14</f>
        <v>1.56 (-1.61, 3.89)</v>
      </c>
      <c r="E14" s="96" t="str">
        <f>'Intermediate CTC'!K14</f>
        <v>17.17 (12.15, 24.60)</v>
      </c>
      <c r="F14" s="17"/>
      <c r="G14" s="41">
        <v>10</v>
      </c>
      <c r="H14" s="39">
        <f>'Intermediate CTC'!D14+'Intermediate CTC'!D15*CTC!$G14</f>
        <v>12.735657447491171</v>
      </c>
      <c r="I14" s="34">
        <f>'Intermediate CTC'!E14+'Intermediate CTC'!E15*CTC!$G14</f>
        <v>8.3020736135919435</v>
      </c>
      <c r="J14" s="34">
        <f>'Intermediate CTC'!F14+'Intermediate CTC'!F15*CTC!$G14</f>
        <v>17.10179559759251</v>
      </c>
      <c r="K14" s="17"/>
      <c r="L14" s="34">
        <f>'Intermediate CTC'!H14+'Intermediate CTC'!H15*CTC!$G14</f>
        <v>9.4142857142857199</v>
      </c>
      <c r="M14" s="34">
        <f>'Intermediate CTC'!I14+'Intermediate CTC'!I15*CTC!$G14</f>
        <v>4.7710739614994999</v>
      </c>
      <c r="N14" s="34">
        <f>'Intermediate CTC'!J14+'Intermediate CTC'!J15*CTC!$G14</f>
        <v>13.647011144883491</v>
      </c>
      <c r="P14" s="34">
        <f>'Intermediate CTC'!L14+'Intermediate CTC'!L15*CTC!$G14</f>
        <v>26.755670103092779</v>
      </c>
      <c r="Q14" s="34">
        <f>'Intermediate CTC'!M14+'Intermediate CTC'!M15*CTC!$G14</f>
        <v>17.154545454545492</v>
      </c>
      <c r="R14" s="34">
        <f>'Intermediate CTC'!N14+'Intermediate CTC'!N15*CTC!$G14</f>
        <v>37.3272727272727</v>
      </c>
      <c r="V14" t="s">
        <v>47</v>
      </c>
    </row>
    <row r="15" spans="1:23" x14ac:dyDescent="0.3">
      <c r="A15" s="5"/>
      <c r="B15" s="6" t="s">
        <v>5</v>
      </c>
      <c r="C15" s="18" t="str">
        <f>'Intermediate CTC'!C15</f>
        <v>0.94 (0.79, 1.10)</v>
      </c>
      <c r="D15" s="94" t="str">
        <f>'Intermediate CTC'!G15</f>
        <v>0.79 (0.64, 0.98)</v>
      </c>
      <c r="E15" s="96" t="str">
        <f>'Intermediate CTC'!K15</f>
        <v>0.96 (0.50, 1.27)</v>
      </c>
      <c r="F15" s="17"/>
      <c r="G15" s="41">
        <v>45</v>
      </c>
      <c r="H15" s="39">
        <f>'Intermediate CTC'!D14+'Intermediate CTC'!D15*CTC!$G15</f>
        <v>45.490372306553446</v>
      </c>
      <c r="I15" s="34">
        <f>'Intermediate CTC'!E14+'Intermediate CTC'!E15*CTC!$G15</f>
        <v>35.811455592132788</v>
      </c>
      <c r="J15" s="34">
        <f>'Intermediate CTC'!F14+'Intermediate CTC'!F15*CTC!$G15</f>
        <v>55.736730336307517</v>
      </c>
      <c r="K15" s="17"/>
      <c r="L15" s="34">
        <f>'Intermediate CTC'!H14+'Intermediate CTC'!H15*CTC!$G15</f>
        <v>36.914285714285697</v>
      </c>
      <c r="M15" s="34">
        <f>'Intermediate CTC'!I14+'Intermediate CTC'!I15*CTC!$G15</f>
        <v>27.111499493414374</v>
      </c>
      <c r="N15" s="34">
        <f>'Intermediate CTC'!J14+'Intermediate CTC'!J15*CTC!$G15</f>
        <v>47.81367781155015</v>
      </c>
      <c r="P15" s="34">
        <f>'Intermediate CTC'!L14+'Intermediate CTC'!L15*CTC!$G15</f>
        <v>60.312371134020609</v>
      </c>
      <c r="Q15" s="34">
        <f>'Intermediate CTC'!M14+'Intermediate CTC'!M15*CTC!$G15</f>
        <v>34.654545454545456</v>
      </c>
      <c r="R15" s="34">
        <f>'Intermediate CTC'!N14+'Intermediate CTC'!N15*CTC!$G15</f>
        <v>81.872727272727161</v>
      </c>
      <c r="W15" t="s">
        <v>48</v>
      </c>
    </row>
    <row r="16" spans="1:23" x14ac:dyDescent="0.3">
      <c r="A16" s="5" t="s">
        <v>18</v>
      </c>
      <c r="B16" s="6" t="s">
        <v>4</v>
      </c>
      <c r="C16" s="18" t="str">
        <f>'Intermediate CTC'!C16</f>
        <v>1.44 (-0.13, 2.35)</v>
      </c>
      <c r="D16" s="50" t="str">
        <f>'Intermediate CTC'!G16</f>
        <v>0.83 (0.05, 1.52)</v>
      </c>
      <c r="E16" s="96" t="str">
        <f>'Intermediate CTC'!K16</f>
        <v>2.41 (0.08, 4.21)</v>
      </c>
      <c r="F16" s="17"/>
      <c r="G16" s="41">
        <v>2</v>
      </c>
      <c r="H16" s="39">
        <f>'Intermediate CTC'!D16+'Intermediate CTC'!D17*CTC!$G16</f>
        <v>3.8675501345261898</v>
      </c>
      <c r="I16" s="34">
        <f>'Intermediate CTC'!E16+'Intermediate CTC'!E17*CTC!$G16</f>
        <v>1.8848592048080421</v>
      </c>
      <c r="J16" s="34">
        <f>'Intermediate CTC'!F16+'Intermediate CTC'!F17*CTC!$G16</f>
        <v>5.4247648529580808</v>
      </c>
      <c r="K16" s="17"/>
      <c r="L16" s="34">
        <f>'Intermediate CTC'!H16+'Intermediate CTC'!H17*CTC!$G16</f>
        <v>2.5</v>
      </c>
      <c r="M16" s="34">
        <f>'Intermediate CTC'!I16+'Intermediate CTC'!I17*CTC!$G16</f>
        <v>1.4048387096774202</v>
      </c>
      <c r="N16" s="34">
        <f>'Intermediate CTC'!J16+'Intermediate CTC'!J17*CTC!$G16</f>
        <v>3.5845161290322598</v>
      </c>
      <c r="P16" s="34">
        <f>'Intermediate CTC'!L16+'Intermediate CTC'!L17*CTC!$G16</f>
        <v>4.9655172413793203</v>
      </c>
      <c r="Q16" s="34">
        <f>'Intermediate CTC'!M16+'Intermediate CTC'!M17*CTC!$G16</f>
        <v>1.7932330827067626</v>
      </c>
      <c r="R16" s="34">
        <f>'Intermediate CTC'!N16+'Intermediate CTC'!N17*CTC!$G16</f>
        <v>7.7932330827067702</v>
      </c>
      <c r="V16" t="s">
        <v>49</v>
      </c>
    </row>
    <row r="17" spans="1:23" x14ac:dyDescent="0.3">
      <c r="A17" s="5"/>
      <c r="B17" s="6" t="s">
        <v>5</v>
      </c>
      <c r="C17" s="18" t="str">
        <f>'Intermediate CTC'!C17</f>
        <v>1.22 (1.01, 1.54)</v>
      </c>
      <c r="D17" s="94" t="str">
        <f>'Intermediate CTC'!G17</f>
        <v>0.83 (0.68, 1.03)</v>
      </c>
      <c r="E17" s="96" t="str">
        <f>'Intermediate CTC'!K17</f>
        <v>1.28 (0.86, 1.79)</v>
      </c>
      <c r="F17" s="17"/>
      <c r="G17" s="41">
        <v>15</v>
      </c>
      <c r="H17" s="39">
        <f>'Intermediate CTC'!D16+'Intermediate CTC'!D17*CTC!$G17</f>
        <v>19.670868043214888</v>
      </c>
      <c r="I17" s="34">
        <f>'Intermediate CTC'!E16+'Intermediate CTC'!E17*CTC!$G17</f>
        <v>14.976144219931292</v>
      </c>
      <c r="J17" s="34">
        <f>'Intermediate CTC'!F16+'Intermediate CTC'!F17*CTC!$G17</f>
        <v>25.416615676109821</v>
      </c>
      <c r="K17" s="17"/>
      <c r="L17" s="34">
        <f>'Intermediate CTC'!H16+'Intermediate CTC'!H17*CTC!$G17</f>
        <v>13.33333333333333</v>
      </c>
      <c r="M17" s="34">
        <f>'Intermediate CTC'!I16+'Intermediate CTC'!I17*CTC!$G17</f>
        <v>10.179838709677419</v>
      </c>
      <c r="N17" s="34">
        <f>'Intermediate CTC'!J16+'Intermediate CTC'!J17*CTC!$G17</f>
        <v>17.00387096774195</v>
      </c>
      <c r="P17" s="34">
        <f>'Intermediate CTC'!L16+'Intermediate CTC'!L17*CTC!$G17</f>
        <v>21.551724137931082</v>
      </c>
      <c r="Q17" s="34">
        <f>'Intermediate CTC'!M16+'Intermediate CTC'!M17*CTC!$G17</f>
        <v>12.936090225563904</v>
      </c>
      <c r="R17" s="34">
        <f>'Intermediate CTC'!N16+'Intermediate CTC'!N17*CTC!$G17</f>
        <v>31.056390977443662</v>
      </c>
      <c r="W17" t="s">
        <v>50</v>
      </c>
    </row>
    <row r="18" spans="1:23" x14ac:dyDescent="0.3">
      <c r="A18" s="5" t="s">
        <v>19</v>
      </c>
      <c r="B18" s="6" t="s">
        <v>4</v>
      </c>
      <c r="C18" s="18" t="str">
        <f>'Intermediate CTC'!C18</f>
        <v>20.72 (3.06, 30.80)</v>
      </c>
      <c r="D18" s="50" t="str">
        <f>'Intermediate CTC'!G18</f>
        <v>-14.33 (-33.60, -1.94)</v>
      </c>
      <c r="E18" s="97" t="str">
        <f>'Intermediate CTC'!K18</f>
        <v>299.54 (187.92, 364.13)</v>
      </c>
      <c r="F18" s="17"/>
      <c r="G18" s="41">
        <v>175</v>
      </c>
      <c r="H18" s="42">
        <f>'Intermediate CTC'!D18+'Intermediate CTC'!D19*CTC!$G18</f>
        <v>153.53783344536495</v>
      </c>
      <c r="I18" s="43">
        <f>'Intermediate CTC'!E18+'Intermediate CTC'!E19*CTC!$G18</f>
        <v>127.63904909260346</v>
      </c>
      <c r="J18" s="43">
        <f>'Intermediate CTC'!F18+'Intermediate CTC'!F19*CTC!$G18</f>
        <v>173.65008758950799</v>
      </c>
      <c r="K18" s="17"/>
      <c r="L18" s="43">
        <f>'Intermediate CTC'!H18+'Intermediate CTC'!H19*CTC!$G18</f>
        <v>114.30127041742284</v>
      </c>
      <c r="M18" s="43">
        <f>'Intermediate CTC'!I18+'Intermediate CTC'!I19*CTC!$G18</f>
        <v>87.852828238877279</v>
      </c>
      <c r="N18" s="43">
        <f>'Intermediate CTC'!J18+'Intermediate CTC'!J19*CTC!$G18</f>
        <v>138.5343328861332</v>
      </c>
      <c r="O18" s="44"/>
      <c r="P18" s="43">
        <f>'Intermediate CTC'!L18+'Intermediate CTC'!L19*CTC!$G18</f>
        <v>404.27864344637908</v>
      </c>
      <c r="Q18" s="43">
        <f>'Intermediate CTC'!M18+'Intermediate CTC'!M19*CTC!$G18</f>
        <v>244.90431668351516</v>
      </c>
      <c r="R18" s="43">
        <f>'Intermediate CTC'!N18+'Intermediate CTC'!N19*CTC!$G18</f>
        <v>541.748021808065</v>
      </c>
    </row>
    <row r="19" spans="1:23" x14ac:dyDescent="0.3">
      <c r="A19" s="5"/>
      <c r="B19" s="6" t="s">
        <v>5</v>
      </c>
      <c r="C19" s="18" t="str">
        <f>'Intermediate CTC'!C19</f>
        <v>0.76 (0.71, 0.82)</v>
      </c>
      <c r="D19" s="94" t="str">
        <f>'Intermediate CTC'!G19</f>
        <v>0.74 (0.69, 0.80)</v>
      </c>
      <c r="E19" s="96" t="str">
        <f>'Intermediate CTC'!K19</f>
        <v>0.60 (0.33, 1.01)</v>
      </c>
      <c r="F19" s="17"/>
      <c r="G19" s="41">
        <v>600</v>
      </c>
      <c r="H19" s="42">
        <f>'Intermediate CTC'!D18+'Intermediate CTC'!D19*CTC!$G19</f>
        <v>476.08381907432806</v>
      </c>
      <c r="I19" s="43">
        <f>'Intermediate CTC'!E18+'Intermediate CTC'!E19*CTC!$G19</f>
        <v>430.18845975490626</v>
      </c>
      <c r="J19" s="43">
        <f>'Intermediate CTC'!F18+'Intermediate CTC'!F19*CTC!$G19</f>
        <v>520.56356740706531</v>
      </c>
      <c r="K19" s="17"/>
      <c r="L19" s="43">
        <f>'Intermediate CTC'!H18+'Intermediate CTC'!H19*CTC!$G19</f>
        <v>426.68784029038108</v>
      </c>
      <c r="M19" s="43">
        <f>'Intermediate CTC'!I18+'Intermediate CTC'!I19*CTC!$G19</f>
        <v>382.80550962688989</v>
      </c>
      <c r="N19" s="43">
        <f>'Intermediate CTC'!J18+'Intermediate CTC'!J19*CTC!$G19</f>
        <v>479.67417962942835</v>
      </c>
      <c r="O19" s="44"/>
      <c r="P19" s="43">
        <f>'Intermediate CTC'!L18+'Intermediate CTC'!L19*CTC!$G19</f>
        <v>658.65536205316221</v>
      </c>
      <c r="Q19" s="43">
        <f>'Intermediate CTC'!M18+'Intermediate CTC'!M19*CTC!$G19</f>
        <v>383.29545348505661</v>
      </c>
      <c r="R19" s="43">
        <f>'Intermediate CTC'!N18+'Intermediate CTC'!N19*CTC!$G19</f>
        <v>973.10078712944096</v>
      </c>
      <c r="T19" t="s">
        <v>51</v>
      </c>
    </row>
    <row r="20" spans="1:23" x14ac:dyDescent="0.3">
      <c r="A20" s="5" t="s">
        <v>20</v>
      </c>
      <c r="B20" s="6" t="s">
        <v>4</v>
      </c>
      <c r="C20" s="18" t="str">
        <f>'Intermediate CTC'!C20</f>
        <v>13.88 (-75.09, 51.41)</v>
      </c>
      <c r="D20" s="94" t="str">
        <f>'Intermediate CTC'!G20</f>
        <v>51.51 (26.29, 69.66)</v>
      </c>
      <c r="E20" s="97" t="str">
        <f>'Intermediate CTC'!K20</f>
        <v>-44.85 (-256.67, 61.20)</v>
      </c>
      <c r="F20" s="17"/>
      <c r="G20" s="41">
        <v>160</v>
      </c>
      <c r="H20" s="39">
        <f>'Intermediate CTC'!D20+'Intermediate CTC'!D21*CTC!$G20</f>
        <v>165.31169523678568</v>
      </c>
      <c r="I20" s="34">
        <f>'Intermediate CTC'!E20+'Intermediate CTC'!E21*CTC!$G20</f>
        <v>53.541428669479458</v>
      </c>
      <c r="J20" s="34">
        <f>'Intermediate CTC'!F20+'Intermediate CTC'!F21*CTC!$G20</f>
        <v>257.5822730409875</v>
      </c>
      <c r="K20" s="17"/>
      <c r="L20" s="34">
        <f>'Intermediate CTC'!H20+'Intermediate CTC'!H21*CTC!$G20</f>
        <v>170.29696969696954</v>
      </c>
      <c r="M20" s="34">
        <f>'Intermediate CTC'!I20+'Intermediate CTC'!I21*CTC!$G20</f>
        <v>133.27667910447772</v>
      </c>
      <c r="N20" s="34">
        <f>'Intermediate CTC'!J20+'Intermediate CTC'!J21*CTC!$G20</f>
        <v>204.87910447761209</v>
      </c>
      <c r="O20" s="44"/>
      <c r="P20" s="34">
        <f>'Intermediate CTC'!L20+'Intermediate CTC'!L21*CTC!$G20</f>
        <v>117.2789356984479</v>
      </c>
      <c r="Q20" s="34">
        <f>'Intermediate CTC'!M20+'Intermediate CTC'!M21*CTC!$G20</f>
        <v>-158.10412447874853</v>
      </c>
      <c r="R20" s="34">
        <f>'Intermediate CTC'!N20+'Intermediate CTC'!N21*CTC!$G20</f>
        <v>352.79956131792494</v>
      </c>
      <c r="U20" t="s">
        <v>52</v>
      </c>
    </row>
    <row r="21" spans="1:23" x14ac:dyDescent="0.3">
      <c r="A21" s="5"/>
      <c r="B21" s="6" t="s">
        <v>5</v>
      </c>
      <c r="C21" s="18" t="str">
        <f>'Intermediate CTC'!C21</f>
        <v>0.95 (0.80, 1.29)</v>
      </c>
      <c r="D21" s="94" t="str">
        <f>'Intermediate CTC'!G21</f>
        <v>0.74 (0.67, 0.85)</v>
      </c>
      <c r="E21" s="97" t="str">
        <f>'Intermediate CTC'!K21</f>
        <v>1.01 (0.62, 1.82)</v>
      </c>
      <c r="F21" s="17"/>
      <c r="G21" s="41">
        <v>350</v>
      </c>
      <c r="H21" s="39">
        <f>'Intermediate CTC'!D20+'Intermediate CTC'!D21*CTC!$G21</f>
        <v>345.13385939151783</v>
      </c>
      <c r="I21" s="34">
        <f>'Intermediate CTC'!E20+'Intermediate CTC'!E21*CTC!$G21</f>
        <v>206.29290894705883</v>
      </c>
      <c r="J21" s="34">
        <f>'Intermediate CTC'!F20+'Intermediate CTC'!F21*CTC!$G21</f>
        <v>502.40704918186316</v>
      </c>
      <c r="K21" s="17"/>
      <c r="L21" s="34">
        <f>'Intermediate CTC'!H20+'Intermediate CTC'!H21*CTC!$G21</f>
        <v>311.35757575757589</v>
      </c>
      <c r="M21" s="34">
        <f>'Intermediate CTC'!I20+'Intermediate CTC'!I21*CTC!$G21</f>
        <v>260.3214552238806</v>
      </c>
      <c r="N21" s="34">
        <f>'Intermediate CTC'!J20+'Intermediate CTC'!J21*CTC!$G21</f>
        <v>365.45746268656723</v>
      </c>
      <c r="O21" s="44"/>
      <c r="P21" s="34">
        <f>'Intermediate CTC'!L20+'Intermediate CTC'!L21*CTC!$G21</f>
        <v>309.80665188470061</v>
      </c>
      <c r="Q21" s="34">
        <f>'Intermediate CTC'!M20+'Intermediate CTC'!M21*CTC!$G21</f>
        <v>-41.05904935353982</v>
      </c>
      <c r="R21" s="34">
        <f>'Intermediate CTC'!N20+'Intermediate CTC'!N21*CTC!$G21</f>
        <v>699.07661759498069</v>
      </c>
      <c r="V21" t="s">
        <v>53</v>
      </c>
    </row>
    <row r="22" spans="1:23" x14ac:dyDescent="0.3">
      <c r="A22" s="5" t="s">
        <v>22</v>
      </c>
      <c r="B22" s="6" t="s">
        <v>4</v>
      </c>
      <c r="C22" s="18" t="str">
        <f>'Intermediate CTC'!C22</f>
        <v>0.03 (-0.09, 0.13)</v>
      </c>
      <c r="D22" s="94" t="str">
        <f>'Intermediate CTC'!G22</f>
        <v>0.21 (0.08, 0.32)</v>
      </c>
      <c r="E22" s="97" t="str">
        <f>'Intermediate CTC'!K22</f>
        <v>-0.27 (-0.52, 0.09)</v>
      </c>
      <c r="F22" s="17"/>
      <c r="G22" s="41">
        <v>0.32</v>
      </c>
      <c r="H22" s="58">
        <f>'Intermediate CTC'!D22+'Intermediate CTC'!D23*CTC!$G22</f>
        <v>0.32717404453588722</v>
      </c>
      <c r="I22" s="59">
        <f>'Intermediate CTC'!E22+'Intermediate CTC'!E23*CTC!$G22</f>
        <v>0.16390106422012285</v>
      </c>
      <c r="J22" s="59">
        <f>'Intermediate CTC'!F22+'Intermediate CTC'!F23*CTC!$G22</f>
        <v>0.47582982021620523</v>
      </c>
      <c r="K22" s="60"/>
      <c r="L22" s="59">
        <f>'Intermediate CTC'!H22+'Intermediate CTC'!H23*CTC!$G22</f>
        <v>0.45317499999999999</v>
      </c>
      <c r="M22" s="59">
        <f>'Intermediate CTC'!I22+'Intermediate CTC'!I23*CTC!$G22</f>
        <v>0.2824717668488152</v>
      </c>
      <c r="N22" s="59">
        <f>'Intermediate CTC'!J22+'Intermediate CTC'!J23*CTC!$G22</f>
        <v>0.62192750455373436</v>
      </c>
      <c r="O22" s="61"/>
      <c r="P22" s="59">
        <f>'Intermediate CTC'!L22+'Intermediate CTC'!L23*CTC!$G22</f>
        <v>5.6776978417267421E-2</v>
      </c>
      <c r="Q22" s="59">
        <f>'Intermediate CTC'!M22+'Intermediate CTC'!M23*CTC!$G22</f>
        <v>-0.34345454545454529</v>
      </c>
      <c r="R22" s="59">
        <f>'Intermediate CTC'!N22+'Intermediate CTC'!N23*CTC!$G22</f>
        <v>0.51575757575757464</v>
      </c>
      <c r="V22" t="s">
        <v>54</v>
      </c>
    </row>
    <row r="23" spans="1:23" x14ac:dyDescent="0.3">
      <c r="A23" s="5"/>
      <c r="B23" s="6" t="s">
        <v>5</v>
      </c>
      <c r="C23" s="18" t="str">
        <f>'Intermediate CTC'!C23</f>
        <v>0.92 (0.79, 1.08)</v>
      </c>
      <c r="D23" s="94" t="str">
        <f>'Intermediate CTC'!G23</f>
        <v>0.78 (0.62, 0.93)</v>
      </c>
      <c r="E23" s="97" t="str">
        <f>'Intermediate CTC'!K23</f>
        <v>1.01 (0.55, 1.33)</v>
      </c>
      <c r="F23" s="17"/>
      <c r="G23" s="59">
        <v>0.9</v>
      </c>
      <c r="H23" s="58">
        <f>'Intermediate CTC'!D22+'Intermediate CTC'!D23*CTC!$G23</f>
        <v>0.8604661626436888</v>
      </c>
      <c r="I23" s="59">
        <f>'Intermediate CTC'!E22+'Intermediate CTC'!E23*CTC!$G23</f>
        <v>0.62209140990555944</v>
      </c>
      <c r="J23" s="59">
        <f>'Intermediate CTC'!F22+'Intermediate CTC'!F23*CTC!$G23</f>
        <v>1.103100536008218</v>
      </c>
      <c r="K23" s="60"/>
      <c r="L23" s="59">
        <f>'Intermediate CTC'!H22+'Intermediate CTC'!H23*CTC!$G23</f>
        <v>0.90267500000000001</v>
      </c>
      <c r="M23" s="59">
        <f>'Intermediate CTC'!I22+'Intermediate CTC'!I23*CTC!$G23</f>
        <v>0.64336065573770451</v>
      </c>
      <c r="N23" s="59">
        <f>'Intermediate CTC'!J22+'Intermediate CTC'!J23*CTC!$G23</f>
        <v>1.1638947176684893</v>
      </c>
      <c r="O23" s="61"/>
      <c r="P23" s="59">
        <f>'Intermediate CTC'!L22+'Intermediate CTC'!L23*CTC!$G23</f>
        <v>0.64094964028777301</v>
      </c>
      <c r="Q23" s="59">
        <f>'Intermediate CTC'!M22+'Intermediate CTC'!M23*CTC!$G23</f>
        <v>-2.709090909090861E-2</v>
      </c>
      <c r="R23" s="59">
        <f>'Intermediate CTC'!N22+'Intermediate CTC'!N23*CTC!$G23</f>
        <v>1.2890909090909062</v>
      </c>
      <c r="W23" t="s">
        <v>55</v>
      </c>
    </row>
    <row r="24" spans="1:23" x14ac:dyDescent="0.3">
      <c r="A24" s="5" t="s">
        <v>21</v>
      </c>
      <c r="B24" s="6" t="s">
        <v>4</v>
      </c>
      <c r="C24" s="18" t="str">
        <f>'Intermediate CTC'!C24</f>
        <v>-0.10 (-0.34, 0.06)</v>
      </c>
      <c r="D24" s="94" t="str">
        <f>'Intermediate CTC'!G24</f>
        <v>0.10 (-0.08, 0.26)</v>
      </c>
      <c r="E24" s="97" t="str">
        <f>'Intermediate CTC'!K24</f>
        <v>-0.35 (-0.80, -0.05)</v>
      </c>
      <c r="F24" s="17"/>
      <c r="G24" s="59">
        <v>0.5</v>
      </c>
      <c r="H24" s="58">
        <f>'Intermediate CTC'!D24+'Intermediate CTC'!D25*CTC!$G24</f>
        <v>0.42614319627493291</v>
      </c>
      <c r="I24" s="59">
        <f>'Intermediate CTC'!E24+'Intermediate CTC'!E25*CTC!$G24</f>
        <v>9.3590667971584551E-2</v>
      </c>
      <c r="J24" s="59">
        <f>'Intermediate CTC'!F24+'Intermediate CTC'!F25*CTC!$G24</f>
        <v>0.72550938671018317</v>
      </c>
      <c r="K24" s="60"/>
      <c r="L24" s="59">
        <f>'Intermediate CTC'!H24+'Intermediate CTC'!H25*CTC!$G24</f>
        <v>0.53421311475409783</v>
      </c>
      <c r="M24" s="59">
        <f>'Intermediate CTC'!I24+'Intermediate CTC'!I25*CTC!$G24</f>
        <v>0.25924571428571391</v>
      </c>
      <c r="N24" s="59">
        <f>'Intermediate CTC'!J24+'Intermediate CTC'!J25*CTC!$G24</f>
        <v>0.79782142857142901</v>
      </c>
      <c r="O24" s="61"/>
      <c r="P24" s="59">
        <f>'Intermediate CTC'!L24+'Intermediate CTC'!L25*CTC!$G24</f>
        <v>0.28042400000000001</v>
      </c>
      <c r="Q24" s="59">
        <f>'Intermediate CTC'!M24+'Intermediate CTC'!M25*CTC!$G24</f>
        <v>-0.34783591508892497</v>
      </c>
      <c r="R24" s="59">
        <f>'Intermediate CTC'!N24+'Intermediate CTC'!N25*CTC!$G24</f>
        <v>0.84716179001721248</v>
      </c>
      <c r="W24" t="s">
        <v>56</v>
      </c>
    </row>
    <row r="25" spans="1:23" ht="15" thickBot="1" x14ac:dyDescent="0.35">
      <c r="A25" s="9"/>
      <c r="B25" s="10" t="s">
        <v>5</v>
      </c>
      <c r="C25" s="19" t="str">
        <f>'Intermediate CTC'!C25</f>
        <v>1.05 (0.86, 1.33)</v>
      </c>
      <c r="D25" s="95" t="str">
        <f>'Intermediate CTC'!G25</f>
        <v>0.87 (0.68, 1.08)</v>
      </c>
      <c r="E25" s="98" t="str">
        <f>'Intermediate CTC'!K25</f>
        <v>1.26 (0.90, 1.80)</v>
      </c>
      <c r="F25" s="17"/>
      <c r="G25" s="41">
        <v>0.99</v>
      </c>
      <c r="H25" s="58">
        <f>'Intermediate CTC'!D24+'Intermediate CTC'!D25*CTC!$G25</f>
        <v>0.94146141544074524</v>
      </c>
      <c r="I25" s="59">
        <f>'Intermediate CTC'!E24+'Intermediate CTC'!E25*CTC!$G25</f>
        <v>0.51506719826477787</v>
      </c>
      <c r="J25" s="59">
        <f>'Intermediate CTC'!F24+'Intermediate CTC'!F25*CTC!$G25</f>
        <v>1.3789718093003995</v>
      </c>
      <c r="K25" s="60"/>
      <c r="L25" s="59">
        <f>'Intermediate CTC'!H24+'Intermediate CTC'!H25*CTC!$G25</f>
        <v>0.95995081967213136</v>
      </c>
      <c r="M25" s="59">
        <f>'Intermediate CTC'!I24+'Intermediate CTC'!I25*CTC!$G25</f>
        <v>0.59174571428571365</v>
      </c>
      <c r="N25" s="59">
        <f>'Intermediate CTC'!J24+'Intermediate CTC'!J25*CTC!$G25</f>
        <v>1.3270214285714292</v>
      </c>
      <c r="O25" s="61"/>
      <c r="P25" s="59">
        <f>'Intermediate CTC'!L24+'Intermediate CTC'!L25*CTC!$G25</f>
        <v>0.8958640000000001</v>
      </c>
      <c r="Q25" s="59">
        <f>'Intermediate CTC'!M24+'Intermediate CTC'!M25*CTC!$G25</f>
        <v>9.5497418244408938E-2</v>
      </c>
      <c r="R25" s="59">
        <f>'Intermediate CTC'!N24+'Intermediate CTC'!N25*CTC!$G25</f>
        <v>1.7268003442340816</v>
      </c>
    </row>
    <row r="26" spans="1:23" ht="51.6" customHeight="1" thickBot="1" x14ac:dyDescent="0.35">
      <c r="A26" t="s">
        <v>1</v>
      </c>
      <c r="B26" s="1" t="s">
        <v>24</v>
      </c>
      <c r="C26" s="1" t="s">
        <v>3</v>
      </c>
      <c r="D26" s="1" t="s">
        <v>32</v>
      </c>
      <c r="E26" s="1" t="s">
        <v>33</v>
      </c>
      <c r="F26" s="1" t="s">
        <v>26</v>
      </c>
      <c r="G26" s="1" t="s">
        <v>69</v>
      </c>
      <c r="H26" s="21" t="s">
        <v>66</v>
      </c>
      <c r="I26" s="21" t="s">
        <v>67</v>
      </c>
      <c r="J26" s="21" t="s">
        <v>68</v>
      </c>
      <c r="K26" s="1" t="s">
        <v>32</v>
      </c>
      <c r="L26" s="1" t="s">
        <v>61</v>
      </c>
      <c r="M26" s="1" t="s">
        <v>59</v>
      </c>
      <c r="N26" s="1" t="s">
        <v>60</v>
      </c>
      <c r="O26" s="1" t="s">
        <v>33</v>
      </c>
      <c r="P26" s="1" t="s">
        <v>61</v>
      </c>
      <c r="Q26" s="1" t="s">
        <v>59</v>
      </c>
      <c r="R26" s="1" t="s">
        <v>60</v>
      </c>
    </row>
    <row r="27" spans="1:23" x14ac:dyDescent="0.3">
      <c r="A27" s="4" t="s">
        <v>142</v>
      </c>
      <c r="B27" s="161" t="s">
        <v>4</v>
      </c>
      <c r="C27" s="149" t="str">
        <f>'Intermediate CTC'!C27</f>
        <v>78.41 (66.10, 97.05)</v>
      </c>
      <c r="D27" s="149" t="str">
        <f>'Intermediate CTC'!G27</f>
        <v>147.37 (92.58, 209.74)</v>
      </c>
      <c r="E27" s="150" t="str">
        <f>'Intermediate CTC'!K27</f>
        <v>93.06 (80.46, 108.18)</v>
      </c>
      <c r="F27" s="1"/>
      <c r="G27" s="1">
        <v>2000</v>
      </c>
      <c r="H27" s="176">
        <f>'Intermediate CTC'!D27+'Intermediate CTC'!D28*CTC!$G27</f>
        <v>2019.6044289996898</v>
      </c>
      <c r="I27" s="177">
        <f>'Intermediate CTC'!E27+'Intermediate CTC'!E28*CTC!$G27</f>
        <v>1999.2508351142721</v>
      </c>
      <c r="J27" s="177">
        <f>'Intermediate CTC'!F27+'Intermediate CTC'!F28*CTC!$G27</f>
        <v>2043.7803357060195</v>
      </c>
      <c r="K27" s="1"/>
      <c r="L27" s="177">
        <f>'Intermediate CTC'!H27+'Intermediate CTC'!H28*CTC!$G27</f>
        <v>1985.9327354260079</v>
      </c>
      <c r="M27" s="177">
        <f>'Intermediate CTC'!I27+'Intermediate CTC'!I28*CTC!$G27</f>
        <v>1900.0784567581559</v>
      </c>
      <c r="N27" s="177">
        <f>'Intermediate CTC'!J27+'Intermediate CTC'!J28*CTC!$G27</f>
        <v>2079.2426696012431</v>
      </c>
      <c r="O27" s="1"/>
      <c r="P27" s="177">
        <f>'Intermediate CTC'!L27+'Intermediate CTC'!L28*CTC!$G27</f>
        <v>2010.9917936694019</v>
      </c>
      <c r="Q27" s="177">
        <f>'Intermediate CTC'!M27+'Intermediate CTC'!M28*CTC!$G27</f>
        <v>1992.2231959026024</v>
      </c>
      <c r="R27" s="177">
        <f>'Intermediate CTC'!N27+'Intermediate CTC'!N28*CTC!$G27</f>
        <v>2031.8096785720361</v>
      </c>
    </row>
    <row r="28" spans="1:23" x14ac:dyDescent="0.3">
      <c r="A28" s="6"/>
      <c r="B28" s="162" t="s">
        <v>5</v>
      </c>
      <c r="C28" s="151" t="str">
        <f>'Intermediate CTC'!C28</f>
        <v>0.97 (0.97, 0.97)</v>
      </c>
      <c r="D28" s="151" t="str">
        <f>'Intermediate CTC'!G28</f>
        <v>0.92 (0.90, 0.93)</v>
      </c>
      <c r="E28" s="152" t="str">
        <f>'Intermediate CTC'!K28</f>
        <v>0.96 (0.96, 0.96)</v>
      </c>
      <c r="F28" s="1"/>
      <c r="G28" s="1">
        <v>6100</v>
      </c>
      <c r="H28" s="176">
        <f>'Intermediate CTC'!D27+'Intermediate CTC'!D28*CTC!$G28</f>
        <v>5999.0523516490093</v>
      </c>
      <c r="I28" s="177">
        <f>'Intermediate CTC'!E27+'Intermediate CTC'!E28*CTC!$G28</f>
        <v>5962.2193944334322</v>
      </c>
      <c r="J28" s="177">
        <f>'Intermediate CTC'!F27+'Intermediate CTC'!F28*CTC!$G28</f>
        <v>6034.5732235406695</v>
      </c>
      <c r="K28" s="1"/>
      <c r="L28" s="177">
        <f>'Intermediate CTC'!H27+'Intermediate CTC'!H28*CTC!$G28</f>
        <v>5754.9910313901328</v>
      </c>
      <c r="M28" s="177">
        <f>'Intermediate CTC'!I27+'Intermediate CTC'!I28*CTC!$G28</f>
        <v>5605.4534567581559</v>
      </c>
      <c r="N28" s="177">
        <f>'Intermediate CTC'!J27+'Intermediate CTC'!J28*CTC!$G28</f>
        <v>5911.7128922837928</v>
      </c>
      <c r="O28" s="1"/>
      <c r="P28" s="177">
        <f>'Intermediate CTC'!L27+'Intermediate CTC'!L28*CTC!$G28</f>
        <v>5942.7620164126611</v>
      </c>
      <c r="Q28" s="177">
        <f>'Intermediate CTC'!M27+'Intermediate CTC'!M28*CTC!$G28</f>
        <v>5911.3408429614274</v>
      </c>
      <c r="R28" s="177">
        <f>'Intermediate CTC'!N27+'Intermediate CTC'!N28*CTC!$G28</f>
        <v>5975.2577549388307</v>
      </c>
    </row>
    <row r="29" spans="1:23" x14ac:dyDescent="0.3">
      <c r="A29" s="5" t="s">
        <v>104</v>
      </c>
      <c r="B29" s="6" t="s">
        <v>4</v>
      </c>
      <c r="C29" s="41" t="str">
        <f>'Intermediate CTC'!C29</f>
        <v>-48.11 (-76.57, -9.23)</v>
      </c>
      <c r="D29" s="50" t="str">
        <f>'Intermediate CTC'!G29</f>
        <v>-0.90 (-13.11, 22.28)</v>
      </c>
      <c r="E29" s="97" t="str">
        <f>'Intermediate CTC'!K29</f>
        <v>-46.23 (-89.50, -18.33)</v>
      </c>
      <c r="F29" s="16"/>
      <c r="G29" s="20">
        <v>400</v>
      </c>
      <c r="H29" s="36">
        <f>'Intermediate CTC'!D29+'Intermediate CTC'!D30*CTC!$G29</f>
        <v>393.25215888544028</v>
      </c>
      <c r="I29" s="32">
        <f>'Intermediate CTC'!E29+'Intermediate CTC'!E30*CTC!$G29</f>
        <v>344.76247844020668</v>
      </c>
      <c r="J29" s="32">
        <f>'Intermediate CTC'!F29+'Intermediate CTC'!F30*CTC!$G29</f>
        <v>449.40984989977954</v>
      </c>
      <c r="K29" s="16"/>
      <c r="L29" s="32">
        <f>'Intermediate CTC'!H29+'Intermediate CTC'!H30*CTC!$G29</f>
        <v>445.20560747663637</v>
      </c>
      <c r="M29" s="32">
        <f>'Intermediate CTC'!I29+'Intermediate CTC'!I30*CTC!$G29</f>
        <v>420.98343245539394</v>
      </c>
      <c r="N29" s="32">
        <f>'Intermediate CTC'!J29+'Intermediate CTC'!J30*CTC!$G29</f>
        <v>476.48401656754498</v>
      </c>
      <c r="P29" s="32">
        <f>'Intermediate CTC'!L29+'Intermediate CTC'!L30*CTC!$G29</f>
        <v>382.72922252010591</v>
      </c>
      <c r="Q29" s="32">
        <f>'Intermediate CTC'!M29+'Intermediate CTC'!M30*CTC!$G29</f>
        <v>322.96605919003201</v>
      </c>
      <c r="R29" s="32">
        <f>'Intermediate CTC'!N29+'Intermediate CTC'!N30*CTC!$G29</f>
        <v>435.66978193146417</v>
      </c>
    </row>
    <row r="30" spans="1:23" x14ac:dyDescent="0.3">
      <c r="A30" s="5"/>
      <c r="B30" s="6" t="s">
        <v>5</v>
      </c>
      <c r="C30" s="91" t="str">
        <f>'Intermediate CTC'!C30</f>
        <v>1.10 (1.05, 1.15)</v>
      </c>
      <c r="D30" s="50" t="str">
        <f>'Intermediate CTC'!G30</f>
        <v>1.12 (1.09, 1.14)</v>
      </c>
      <c r="E30" s="97" t="str">
        <f>'Intermediate CTC'!K30</f>
        <v>1.07 (1.03, 1.14)</v>
      </c>
      <c r="F30" s="16"/>
      <c r="G30" s="20">
        <v>1075</v>
      </c>
      <c r="H30" s="36">
        <f>'Intermediate CTC'!D29+'Intermediate CTC'!D30*CTC!$G30</f>
        <v>1138.0526430806945</v>
      </c>
      <c r="I30" s="32">
        <f>'Intermediate CTC'!E29+'Intermediate CTC'!E30*CTC!$G30</f>
        <v>1055.753044388875</v>
      </c>
      <c r="J30" s="32">
        <f>'Intermediate CTC'!F29+'Intermediate CTC'!F30*CTC!$G30</f>
        <v>1223.3633270371936</v>
      </c>
      <c r="K30" s="16"/>
      <c r="L30" s="32">
        <f>'Intermediate CTC'!H29+'Intermediate CTC'!H30*CTC!$G30</f>
        <v>1198.0093457943947</v>
      </c>
      <c r="M30" s="32">
        <f>'Intermediate CTC'!I29+'Intermediate CTC'!I30*CTC!$G30</f>
        <v>1153.5118415463012</v>
      </c>
      <c r="N30" s="32">
        <f>'Intermediate CTC'!J29+'Intermediate CTC'!J30*CTC!$G30</f>
        <v>1242.9559791843683</v>
      </c>
      <c r="P30" s="32">
        <f>'Intermediate CTC'!L29+'Intermediate CTC'!L30*CTC!$G30</f>
        <v>1106.5898123324359</v>
      </c>
      <c r="Q30" s="32">
        <f>'Intermediate CTC'!M29+'Intermediate CTC'!M30*CTC!$G30</f>
        <v>1018.9940965732111</v>
      </c>
      <c r="R30" s="32">
        <f>'Intermediate CTC'!N29+'Intermediate CTC'!N30*CTC!$G30</f>
        <v>1201.7947819314643</v>
      </c>
    </row>
    <row r="31" spans="1:23" x14ac:dyDescent="0.3">
      <c r="A31" s="5" t="s">
        <v>11</v>
      </c>
      <c r="B31" s="6" t="s">
        <v>4</v>
      </c>
      <c r="C31" s="91" t="str">
        <f>'Intermediate CTC'!C31</f>
        <v>-167.35 (-252.49, -56.92)</v>
      </c>
      <c r="D31" s="50" t="str">
        <f>'Intermediate CTC'!G31</f>
        <v>-390.73 (-478.35, -324.13)</v>
      </c>
      <c r="E31" s="97" t="str">
        <f>'Intermediate CTC'!K31</f>
        <v>-465.07 (-610.17, -329.65)</v>
      </c>
      <c r="F31" s="16"/>
      <c r="G31" s="20">
        <v>675</v>
      </c>
      <c r="H31" s="36">
        <f>'Intermediate CTC'!D31+'Intermediate CTC'!D32*CTC!$G31</f>
        <v>708.67177068232081</v>
      </c>
      <c r="I31" s="32">
        <f>'Intermediate CTC'!E31+'Intermediate CTC'!E32*CTC!$G31</f>
        <v>547.98920065827372</v>
      </c>
      <c r="J31" s="32">
        <f>'Intermediate CTC'!F31+'Intermediate CTC'!F32*CTC!$G31</f>
        <v>881.16055907112718</v>
      </c>
      <c r="K31" s="16"/>
      <c r="L31" s="32">
        <f>'Intermediate CTC'!H31+'Intermediate CTC'!H32*CTC!$G31</f>
        <v>688.32394366197548</v>
      </c>
      <c r="M31" s="32">
        <f>'Intermediate CTC'!I31+'Intermediate CTC'!I32*CTC!$G31</f>
        <v>551.02499999999998</v>
      </c>
      <c r="N31" s="32">
        <f>'Intermediate CTC'!J31+'Intermediate CTC'!J32*CTC!$G31</f>
        <v>816.625</v>
      </c>
      <c r="O31" s="44"/>
      <c r="P31" s="32">
        <f>'Intermediate CTC'!L31+'Intermediate CTC'!L32*CTC!$G31</f>
        <v>569.93333333333067</v>
      </c>
      <c r="Q31" s="32">
        <f>'Intermediate CTC'!M31+'Intermediate CTC'!M32*CTC!$G31</f>
        <v>325.71541324877444</v>
      </c>
      <c r="R31" s="32">
        <f>'Intermediate CTC'!N31+'Intermediate CTC'!N32*CTC!$G31</f>
        <v>811.7822775211996</v>
      </c>
    </row>
    <row r="32" spans="1:23" x14ac:dyDescent="0.3">
      <c r="A32" s="5"/>
      <c r="B32" s="6" t="s">
        <v>5</v>
      </c>
      <c r="C32" s="41" t="str">
        <f>'Intermediate CTC'!C32</f>
        <v>1.30 (1.19, 1.39)</v>
      </c>
      <c r="D32" s="50" t="str">
        <f>'Intermediate CTC'!G32</f>
        <v>1.60 (1.53, 1.69)</v>
      </c>
      <c r="E32" s="97" t="str">
        <f>'Intermediate CTC'!K32</f>
        <v>1.53 (1.39, 1.69)</v>
      </c>
      <c r="F32" s="16"/>
      <c r="G32" s="41">
        <v>1500</v>
      </c>
      <c r="H32" s="36">
        <f>'Intermediate CTC'!D31+'Intermediate CTC'!D32*CTC!$G32</f>
        <v>1779.3693951733183</v>
      </c>
      <c r="I32" s="32">
        <f>'Intermediate CTC'!E31+'Intermediate CTC'!E32*CTC!$G32</f>
        <v>1526.3502287957972</v>
      </c>
      <c r="J32" s="32">
        <f>'Intermediate CTC'!F31+'Intermediate CTC'!F32*CTC!$G32</f>
        <v>2027.7055868779294</v>
      </c>
      <c r="K32" s="16"/>
      <c r="L32" s="32">
        <f>'Intermediate CTC'!H31+'Intermediate CTC'!H32*CTC!$G32</f>
        <v>2007.1619718309944</v>
      </c>
      <c r="M32" s="32">
        <f>'Intermediate CTC'!I31+'Intermediate CTC'!I32*CTC!$G32</f>
        <v>1809.15</v>
      </c>
      <c r="N32" s="32">
        <f>'Intermediate CTC'!J31+'Intermediate CTC'!J32*CTC!$G32</f>
        <v>2210.875</v>
      </c>
      <c r="O32" s="44"/>
      <c r="P32" s="32">
        <f>'Intermediate CTC'!L31+'Intermediate CTC'!L32*CTC!$G32</f>
        <v>1834.9333333333279</v>
      </c>
      <c r="Q32" s="32">
        <f>'Intermediate CTC'!M31+'Intermediate CTC'!M32*CTC!$G32</f>
        <v>1469.580443923619</v>
      </c>
      <c r="R32" s="32">
        <f>'Intermediate CTC'!N31+'Intermediate CTC'!N32*CTC!$G32</f>
        <v>2206.8665471841241</v>
      </c>
    </row>
    <row r="33" spans="1:22" x14ac:dyDescent="0.3">
      <c r="A33" s="5" t="s">
        <v>13</v>
      </c>
      <c r="B33" s="6" t="s">
        <v>4</v>
      </c>
      <c r="C33" s="18" t="str">
        <f>'Intermediate CTC'!C33</f>
        <v>-1.97 (-3.24, -1.11)</v>
      </c>
      <c r="D33" s="50" t="str">
        <f>'Intermediate CTC'!G33</f>
        <v>*-3.50 (0.00, 0.00)</v>
      </c>
      <c r="E33" s="97" t="str">
        <f>'Intermediate CTC'!K33</f>
        <v>*-0.22 (0.00, 0.00)</v>
      </c>
      <c r="F33" s="17"/>
      <c r="G33" s="41"/>
      <c r="H33" s="38"/>
      <c r="I33" s="17"/>
      <c r="J33" s="17"/>
      <c r="K33" s="17"/>
      <c r="L33" s="17"/>
      <c r="M33" s="17"/>
      <c r="N33" s="17"/>
    </row>
    <row r="34" spans="1:22" x14ac:dyDescent="0.3">
      <c r="A34" s="5"/>
      <c r="B34" s="6" t="s">
        <v>5</v>
      </c>
      <c r="C34" s="18" t="str">
        <f>'Intermediate CTC'!C34</f>
        <v>1.20 (1.13, 1.29)</v>
      </c>
      <c r="D34" s="50" t="str">
        <f>'Intermediate CTC'!G34</f>
        <v>*0.95 (0.78, 1.16)</v>
      </c>
      <c r="E34" s="97" t="str">
        <f>'Intermediate CTC'!K34</f>
        <v>*1.36 (1.14, 1.62)</v>
      </c>
      <c r="F34" s="17"/>
      <c r="G34" s="41"/>
      <c r="H34" s="38"/>
      <c r="I34" s="17"/>
      <c r="J34" s="17"/>
      <c r="K34" s="17"/>
      <c r="L34" s="17"/>
      <c r="M34" s="17"/>
      <c r="N34" s="17"/>
    </row>
    <row r="35" spans="1:22" x14ac:dyDescent="0.3">
      <c r="A35" s="5" t="s">
        <v>14</v>
      </c>
      <c r="B35" s="6" t="s">
        <v>4</v>
      </c>
      <c r="C35" s="18" t="str">
        <f>'Intermediate CTC'!C35</f>
        <v>-181.32 (-276.20, -67.48)</v>
      </c>
      <c r="D35" s="50" t="str">
        <f>'Intermediate CTC'!G35</f>
        <v>-272.89 (-352.80, -202.22)</v>
      </c>
      <c r="E35" s="97" t="str">
        <f>'Intermediate CTC'!K35</f>
        <v>-401.32 (-566.75, -243.86)</v>
      </c>
      <c r="F35" s="17"/>
      <c r="G35" s="41">
        <v>1000</v>
      </c>
      <c r="H35" s="40">
        <f>'Intermediate CTC'!D35+'Intermediate CTC'!D36*CTC!$G35</f>
        <v>1015.8866586068921</v>
      </c>
      <c r="I35" s="34">
        <f>'Intermediate CTC'!E35+'Intermediate CTC'!E36*CTC!$G35</f>
        <v>851.93453968723702</v>
      </c>
      <c r="J35" s="34">
        <f>'Intermediate CTC'!F35+'Intermediate CTC'!F36*CTC!$G35</f>
        <v>1184.7880349360244</v>
      </c>
      <c r="K35" s="34"/>
      <c r="L35" s="34">
        <f>'Intermediate CTC'!H35+'Intermediate CTC'!H36*CTC!$G35</f>
        <v>1046.3915662650552</v>
      </c>
      <c r="M35" s="34">
        <f>'Intermediate CTC'!I35+'Intermediate CTC'!I36*CTC!$G35</f>
        <v>922.97731994352989</v>
      </c>
      <c r="N35" s="34">
        <f>'Intermediate CTC'!J35+'Intermediate CTC'!J36*CTC!$G35</f>
        <v>1162.8227330731811</v>
      </c>
      <c r="O35" s="46"/>
      <c r="P35" s="34">
        <f>'Intermediate CTC'!L35+'Intermediate CTC'!L36*CTC!$G35</f>
        <v>871.04970178926794</v>
      </c>
      <c r="Q35" s="34">
        <f>'Intermediate CTC'!M35+'Intermediate CTC'!M36*CTC!$G35</f>
        <v>611.82469227900208</v>
      </c>
      <c r="R35" s="34">
        <f>'Intermediate CTC'!N35+'Intermediate CTC'!N36*CTC!$G35</f>
        <v>1126.900037299516</v>
      </c>
    </row>
    <row r="36" spans="1:22" x14ac:dyDescent="0.3">
      <c r="A36" s="5"/>
      <c r="B36" s="6" t="s">
        <v>5</v>
      </c>
      <c r="C36" s="18" t="str">
        <f>'Intermediate CTC'!C36</f>
        <v>1.20 (1.13, 1.25)</v>
      </c>
      <c r="D36" s="50" t="str">
        <f>'Intermediate CTC'!G36</f>
        <v>1.32 (1.28, 1.37)</v>
      </c>
      <c r="E36" s="97" t="str">
        <f>'Intermediate CTC'!K36</f>
        <v>1.27 (1.18, 1.37)</v>
      </c>
      <c r="F36" s="17"/>
      <c r="G36" s="41">
        <v>2600</v>
      </c>
      <c r="H36" s="40">
        <f>'Intermediate CTC'!D35+'Intermediate CTC'!D36*CTC!$G36</f>
        <v>2931.4204993573398</v>
      </c>
      <c r="I36" s="34">
        <f>'Intermediate CTC'!E35+'Intermediate CTC'!E36*CTC!$G36</f>
        <v>2656.9434239241014</v>
      </c>
      <c r="J36" s="34">
        <f>'Intermediate CTC'!F35+'Intermediate CTC'!F36*CTC!$G36</f>
        <v>3188.4237794128726</v>
      </c>
      <c r="K36" s="34"/>
      <c r="L36" s="34">
        <f>'Intermediate CTC'!H35+'Intermediate CTC'!H36*CTC!$G36</f>
        <v>3157.2349397590233</v>
      </c>
      <c r="M36" s="34">
        <f>'Intermediate CTC'!I35+'Intermediate CTC'!I36*CTC!$G36</f>
        <v>2964.2243223416094</v>
      </c>
      <c r="N36" s="34">
        <f>'Intermediate CTC'!J35+'Intermediate CTC'!J36*CTC!$G36</f>
        <v>3346.8844297312767</v>
      </c>
      <c r="O36" s="46"/>
      <c r="P36" s="34">
        <f>'Intermediate CTC'!L35+'Intermediate CTC'!L36*CTC!$G36</f>
        <v>2906.8349900596518</v>
      </c>
      <c r="Q36" s="34">
        <f>'Intermediate CTC'!M35+'Intermediate CTC'!M36*CTC!$G36</f>
        <v>2497.5389779932898</v>
      </c>
      <c r="R36" s="34">
        <f>'Intermediate CTC'!N35+'Intermediate CTC'!N36*CTC!$G36</f>
        <v>3320.1115255501722</v>
      </c>
    </row>
    <row r="37" spans="1:22" x14ac:dyDescent="0.3">
      <c r="A37" s="5" t="s">
        <v>15</v>
      </c>
      <c r="B37" s="6" t="s">
        <v>4</v>
      </c>
      <c r="C37" s="18" t="str">
        <f>'Intermediate CTC'!C37</f>
        <v>-1.19 (-5.52, 0.68)</v>
      </c>
      <c r="D37" s="50" t="str">
        <f>'Intermediate CTC'!G37</f>
        <v>*-0.87 (0.00, 0.00)</v>
      </c>
      <c r="E37" s="97" t="str">
        <f>'Intermediate CTC'!K37</f>
        <v>*-0.88 (0.00, 0.00)</v>
      </c>
      <c r="F37" s="17"/>
      <c r="G37" s="41"/>
      <c r="H37" s="38"/>
      <c r="I37" s="17"/>
      <c r="J37" s="17"/>
      <c r="K37" s="17"/>
      <c r="L37" s="17"/>
      <c r="M37" s="17"/>
      <c r="N37" s="17"/>
    </row>
    <row r="38" spans="1:22" x14ac:dyDescent="0.3">
      <c r="A38" s="5"/>
      <c r="B38" s="6" t="s">
        <v>5</v>
      </c>
      <c r="C38" s="18" t="str">
        <f>'Intermediate CTC'!C38</f>
        <v>1.12 (0.94, 1.51)</v>
      </c>
      <c r="D38" s="50" t="str">
        <f>'Intermediate CTC'!G38</f>
        <v>*1.15 (0.89, 1.48)</v>
      </c>
      <c r="E38" s="97" t="str">
        <f>'Intermediate CTC'!K38</f>
        <v>*1.03 (0.57, 1.84)</v>
      </c>
      <c r="F38" s="17"/>
      <c r="G38" s="41"/>
      <c r="H38" s="38"/>
      <c r="I38" s="17"/>
      <c r="J38" s="17"/>
      <c r="K38" s="17"/>
      <c r="L38" s="17"/>
      <c r="M38" s="17"/>
      <c r="N38" s="17"/>
    </row>
    <row r="39" spans="1:22" x14ac:dyDescent="0.3">
      <c r="A39" s="5" t="s">
        <v>16</v>
      </c>
      <c r="B39" s="6" t="s">
        <v>4</v>
      </c>
      <c r="C39" s="18" t="str">
        <f>'Intermediate CTC'!C39</f>
        <v>1.81 (-0.42, 3.69)</v>
      </c>
      <c r="D39" s="50" t="str">
        <f>'Intermediate CTC'!G39</f>
        <v>-1.98 (-6.09, 1.65)</v>
      </c>
      <c r="E39" s="97" t="str">
        <f>'Intermediate CTC'!K39</f>
        <v>17.76 (11.13, 22.78)</v>
      </c>
      <c r="F39" s="17"/>
      <c r="G39" s="41">
        <v>10</v>
      </c>
      <c r="H39" s="39">
        <f>'Intermediate CTC'!D39+'Intermediate CTC'!D40*CTC!$G39</f>
        <v>13.41048166783512</v>
      </c>
      <c r="I39" s="34">
        <f>'Intermediate CTC'!E39+'Intermediate CTC'!E40*CTC!$G39</f>
        <v>9.9421960567367194</v>
      </c>
      <c r="J39" s="34">
        <f>'Intermediate CTC'!F39+'Intermediate CTC'!F40*CTC!$G39</f>
        <v>16.764284662806819</v>
      </c>
      <c r="K39" s="34"/>
      <c r="L39" s="34">
        <f>'Intermediate CTC'!H39+'Intermediate CTC'!H40*CTC!$G39</f>
        <v>10.745454545454511</v>
      </c>
      <c r="M39" s="34">
        <f>'Intermediate CTC'!I39+'Intermediate CTC'!I40*CTC!$G39</f>
        <v>4.1572357723577298</v>
      </c>
      <c r="N39" s="34">
        <f>'Intermediate CTC'!J39+'Intermediate CTC'!J40*CTC!$G39</f>
        <v>17.317886178861819</v>
      </c>
      <c r="O39" s="34"/>
      <c r="P39" s="34">
        <f>'Intermediate CTC'!L39+'Intermediate CTC'!L40*CTC!$G39</f>
        <v>28.4714285714286</v>
      </c>
      <c r="Q39" s="34">
        <f>'Intermediate CTC'!M39+'Intermediate CTC'!M40*CTC!$G39</f>
        <v>17.86627282491942</v>
      </c>
      <c r="R39" s="34">
        <f>'Intermediate CTC'!N39+'Intermediate CTC'!N40*CTC!$G39</f>
        <v>37.869351951306804</v>
      </c>
    </row>
    <row r="40" spans="1:22" x14ac:dyDescent="0.3">
      <c r="A40" s="5"/>
      <c r="B40" s="6" t="s">
        <v>5</v>
      </c>
      <c r="C40" s="18" t="str">
        <f>'Intermediate CTC'!C40</f>
        <v>1.16 (1.04, 1.31)</v>
      </c>
      <c r="D40" s="50" t="str">
        <f>'Intermediate CTC'!G40</f>
        <v>1.27 (1.02, 1.57)</v>
      </c>
      <c r="E40" s="97" t="str">
        <f>'Intermediate CTC'!K40</f>
        <v>1.07 (0.67, 1.51)</v>
      </c>
      <c r="F40" s="17"/>
      <c r="G40" s="41">
        <v>45</v>
      </c>
      <c r="H40" s="39">
        <f>'Intermediate CTC'!D39+'Intermediate CTC'!D40*CTC!$G40</f>
        <v>54.011977069542219</v>
      </c>
      <c r="I40" s="34">
        <f>'Intermediate CTC'!E39+'Intermediate CTC'!E40*CTC!$G40</f>
        <v>46.219308332093469</v>
      </c>
      <c r="J40" s="34">
        <f>'Intermediate CTC'!F39+'Intermediate CTC'!F40*CTC!$G40</f>
        <v>62.506805069218665</v>
      </c>
      <c r="K40" s="34"/>
      <c r="L40" s="34">
        <f>'Intermediate CTC'!H39+'Intermediate CTC'!H40*CTC!$G40</f>
        <v>55.290909090908961</v>
      </c>
      <c r="M40" s="34">
        <f>'Intermediate CTC'!I39+'Intermediate CTC'!I40*CTC!$G40</f>
        <v>40.010894308943122</v>
      </c>
      <c r="N40" s="34">
        <f>'Intermediate CTC'!J39+'Intermediate CTC'!J40*CTC!$G40</f>
        <v>72.151219512195269</v>
      </c>
      <c r="O40" s="34"/>
      <c r="P40" s="34">
        <f>'Intermediate CTC'!L39+'Intermediate CTC'!L40*CTC!$G40</f>
        <v>65.971428571428547</v>
      </c>
      <c r="Q40" s="34">
        <f>'Intermediate CTC'!M39+'Intermediate CTC'!M40*CTC!$G40</f>
        <v>41.43770139634799</v>
      </c>
      <c r="R40" s="34">
        <f>'Intermediate CTC'!N39+'Intermediate CTC'!N40*CTC!$G40</f>
        <v>90.676369495166398</v>
      </c>
    </row>
    <row r="41" spans="1:22" x14ac:dyDescent="0.3">
      <c r="A41" s="5" t="s">
        <v>18</v>
      </c>
      <c r="B41" s="6" t="s">
        <v>4</v>
      </c>
      <c r="C41" s="18" t="str">
        <f>'Intermediate CTC'!C41</f>
        <v>0.42 (-0.25, 0.97)</v>
      </c>
      <c r="D41" s="50" t="str">
        <f>'Intermediate CTC'!G41</f>
        <v>-1.00 (-2.25, -0.05)</v>
      </c>
      <c r="E41" s="97" t="str">
        <f>'Intermediate CTC'!K41</f>
        <v>1.80 (-0.12, 3.20)</v>
      </c>
      <c r="F41" s="17"/>
      <c r="G41" s="41">
        <v>2</v>
      </c>
      <c r="H41" s="39">
        <f>'Intermediate CTC'!D41+'Intermediate CTC'!D42*CTC!$G41</f>
        <v>3.2189284134278653</v>
      </c>
      <c r="I41" s="34">
        <f>'Intermediate CTC'!E41+'Intermediate CTC'!E42*CTC!$G41</f>
        <v>2.303848854043367</v>
      </c>
      <c r="J41" s="34">
        <f>'Intermediate CTC'!F41+'Intermediate CTC'!F42*CTC!$G41</f>
        <v>4.0660059171626708</v>
      </c>
      <c r="K41" s="17"/>
      <c r="L41" s="34">
        <f>'Intermediate CTC'!H41+'Intermediate CTC'!H42*CTC!$G41</f>
        <v>1.4</v>
      </c>
      <c r="M41" s="34">
        <f>'Intermediate CTC'!I41+'Intermediate CTC'!I42*CTC!$G41</f>
        <v>-0.31435185185185022</v>
      </c>
      <c r="N41" s="34">
        <f>'Intermediate CTC'!J41+'Intermediate CTC'!J42*CTC!$G41</f>
        <v>2.9098379629629596</v>
      </c>
      <c r="O41" s="44"/>
      <c r="P41" s="34">
        <f>'Intermediate CTC'!L41+'Intermediate CTC'!L42*CTC!$G41</f>
        <v>4.5647058823529401</v>
      </c>
      <c r="Q41" s="34">
        <f>'Intermediate CTC'!M41+'Intermediate CTC'!M42*CTC!$G41</f>
        <v>1.8842105263157891</v>
      </c>
      <c r="R41" s="34">
        <f>'Intermediate CTC'!N41+'Intermediate CTC'!N42*CTC!$G41</f>
        <v>6.7789473684210604</v>
      </c>
    </row>
    <row r="42" spans="1:22" x14ac:dyDescent="0.3">
      <c r="A42" s="5"/>
      <c r="B42" s="6" t="s">
        <v>5</v>
      </c>
      <c r="C42" s="18" t="str">
        <f>'Intermediate CTC'!C42</f>
        <v>1.40 (1.28, 1.55)</v>
      </c>
      <c r="D42" s="50" t="str">
        <f>'Intermediate CTC'!G42</f>
        <v>1.20 (0.97, 1.48)</v>
      </c>
      <c r="E42" s="97" t="str">
        <f>'Intermediate CTC'!K42</f>
        <v>1.38 (1.00, 1.79)</v>
      </c>
      <c r="F42" s="17"/>
      <c r="G42" s="41">
        <v>15</v>
      </c>
      <c r="H42" s="39">
        <f>'Intermediate CTC'!D41+'Intermediate CTC'!D42*CTC!$G42</f>
        <v>21.413826965590928</v>
      </c>
      <c r="I42" s="34">
        <f>'Intermediate CTC'!E41+'Intermediate CTC'!E42*CTC!$G42</f>
        <v>18.905061967916026</v>
      </c>
      <c r="J42" s="34">
        <f>'Intermediate CTC'!F41+'Intermediate CTC'!F42*CTC!$G42</f>
        <v>24.199017502436529</v>
      </c>
      <c r="K42" s="17"/>
      <c r="L42" s="34">
        <f>'Intermediate CTC'!H41+'Intermediate CTC'!H42*CTC!$G42</f>
        <v>17</v>
      </c>
      <c r="M42" s="34">
        <f>'Intermediate CTC'!I41+'Intermediate CTC'!I42*CTC!$G42</f>
        <v>12.27939814814815</v>
      </c>
      <c r="N42" s="34">
        <f>'Intermediate CTC'!J41+'Intermediate CTC'!J42*CTC!$G42</f>
        <v>22.169097222222199</v>
      </c>
      <c r="O42" s="44"/>
      <c r="P42" s="34">
        <f>'Intermediate CTC'!L41+'Intermediate CTC'!L42*CTC!$G42</f>
        <v>22.535294117647048</v>
      </c>
      <c r="Q42" s="34">
        <f>'Intermediate CTC'!M41+'Intermediate CTC'!M42*CTC!$G42</f>
        <v>14.884210526315789</v>
      </c>
      <c r="R42" s="34">
        <f>'Intermediate CTC'!N41+'Intermediate CTC'!N42*CTC!$G42</f>
        <v>30.04210526315795</v>
      </c>
    </row>
    <row r="43" spans="1:22" x14ac:dyDescent="0.3">
      <c r="A43" s="5" t="s">
        <v>19</v>
      </c>
      <c r="B43" s="6" t="s">
        <v>4</v>
      </c>
      <c r="C43" s="18" t="str">
        <f>'Intermediate CTC'!C43</f>
        <v>34.78 (24.23, 51.68)</v>
      </c>
      <c r="D43" s="50" t="str">
        <f>'Intermediate CTC'!G43</f>
        <v>19.49 (2.79, 41.86)</v>
      </c>
      <c r="E43" s="97" t="str">
        <f>'Intermediate CTC'!K43</f>
        <v>346.28 (277.66, 375.32)</v>
      </c>
      <c r="F43" s="17"/>
      <c r="G43" s="41">
        <v>175</v>
      </c>
      <c r="H43" s="39">
        <f>'Intermediate CTC'!D43+'Intermediate CTC'!D44*CTC!$G43</f>
        <v>214.0345877548319</v>
      </c>
      <c r="I43" s="34">
        <f>'Intermediate CTC'!E43+'Intermediate CTC'!E44*CTC!$G43</f>
        <v>188.18903013410554</v>
      </c>
      <c r="J43" s="34">
        <f>'Intermediate CTC'!F43+'Intermediate CTC'!F44*CTC!$G43</f>
        <v>240.98505994481917</v>
      </c>
      <c r="K43" s="17"/>
      <c r="L43" s="34">
        <f>'Intermediate CTC'!H43+'Intermediate CTC'!H44*CTC!$G43</f>
        <v>257.58024691357963</v>
      </c>
      <c r="M43" s="34">
        <f>'Intermediate CTC'!I43+'Intermediate CTC'!I44*CTC!$G43</f>
        <v>220.8072748969409</v>
      </c>
      <c r="N43" s="34">
        <f>'Intermediate CTC'!J43+'Intermediate CTC'!J44*CTC!$G43</f>
        <v>294.01660880885214</v>
      </c>
      <c r="O43" s="44"/>
      <c r="P43" s="34">
        <f>'Intermediate CTC'!L43+'Intermediate CTC'!L44*CTC!$G43</f>
        <v>452.6926739926746</v>
      </c>
      <c r="Q43" s="34">
        <f>'Intermediate CTC'!M43+'Intermediate CTC'!M44*CTC!$G43</f>
        <v>351.2863601261339</v>
      </c>
      <c r="R43" s="34">
        <f>'Intermediate CTC'!N43+'Intermediate CTC'!N44*CTC!$G43</f>
        <v>547.77749533432052</v>
      </c>
    </row>
    <row r="44" spans="1:22" x14ac:dyDescent="0.3">
      <c r="A44" s="5"/>
      <c r="B44" s="6" t="s">
        <v>5</v>
      </c>
      <c r="C44" s="18" t="str">
        <f>'Intermediate CTC'!C44</f>
        <v>1.02 (0.94, 1.08)</v>
      </c>
      <c r="D44" s="50" t="str">
        <f>'Intermediate CTC'!G44</f>
        <v>1.36 (1.25, 1.44)</v>
      </c>
      <c r="E44" s="97" t="str">
        <f>'Intermediate CTC'!K44</f>
        <v>0.61 (0.42, 0.99)</v>
      </c>
      <c r="F44" s="17"/>
      <c r="G44" s="41">
        <v>600</v>
      </c>
      <c r="H44" s="39">
        <f>'Intermediate CTC'!D43+'Intermediate CTC'!D44*CTC!$G44</f>
        <v>649.36748296006988</v>
      </c>
      <c r="I44" s="34">
        <f>'Intermediate CTC'!E43+'Intermediate CTC'!E44*CTC!$G44</f>
        <v>586.3805221649194</v>
      </c>
      <c r="J44" s="34">
        <f>'Intermediate CTC'!F43+'Intermediate CTC'!F44*CTC!$G44</f>
        <v>700.72080457615618</v>
      </c>
      <c r="K44" s="17"/>
      <c r="L44" s="34">
        <f>'Intermediate CTC'!H43+'Intermediate CTC'!H44*CTC!$G44</f>
        <v>835.79012345678791</v>
      </c>
      <c r="M44" s="34">
        <f>'Intermediate CTC'!I43+'Intermediate CTC'!I44*CTC!$G44</f>
        <v>750.28221523106993</v>
      </c>
      <c r="N44" s="34">
        <f>'Intermediate CTC'!J43+'Intermediate CTC'!J44*CTC!$G44</f>
        <v>906.40297244521548</v>
      </c>
      <c r="O44" s="44"/>
      <c r="P44" s="34">
        <f>'Intermediate CTC'!L43+'Intermediate CTC'!L44*CTC!$G44</f>
        <v>711.11758241758344</v>
      </c>
      <c r="Q44" s="34">
        <f>'Intermediate CTC'!M43+'Intermediate CTC'!M44*CTC!$G44</f>
        <v>530.0973357358904</v>
      </c>
      <c r="R44" s="34">
        <f>'Intermediate CTC'!N43+'Intermediate CTC'!N44*CTC!$G44</f>
        <v>966.60994916017819</v>
      </c>
      <c r="V44" t="s">
        <v>57</v>
      </c>
    </row>
    <row r="45" spans="1:22" x14ac:dyDescent="0.3">
      <c r="A45" s="5" t="s">
        <v>20</v>
      </c>
      <c r="B45" s="6" t="s">
        <v>4</v>
      </c>
      <c r="C45" s="18" t="str">
        <f>'Intermediate CTC'!C45</f>
        <v>-45.82 (-74.38, -30.77)</v>
      </c>
      <c r="D45" s="50" t="str">
        <f>'Intermediate CTC'!G45</f>
        <v>-69.38 (-104.17, -31.11)</v>
      </c>
      <c r="E45" s="97" t="str">
        <f>'Intermediate CTC'!K45</f>
        <v>-29.23 (-134.45, 5.46)</v>
      </c>
      <c r="F45" s="17"/>
      <c r="G45" s="41">
        <v>160</v>
      </c>
      <c r="H45" s="39">
        <f>'Intermediate CTC'!D45+'Intermediate CTC'!D46*CTC!$G45</f>
        <v>154.45162951855093</v>
      </c>
      <c r="I45" s="34">
        <f>'Intermediate CTC'!E45+'Intermediate CTC'!E46*CTC!$G45</f>
        <v>116.05225458265001</v>
      </c>
      <c r="J45" s="34">
        <f>'Intermediate CTC'!F45+'Intermediate CTC'!F46*CTC!$G45</f>
        <v>187.48995380699313</v>
      </c>
      <c r="K45" s="17"/>
      <c r="L45" s="34">
        <f>'Intermediate CTC'!H45+'Intermediate CTC'!H46*CTC!$G45</f>
        <v>146.13061224489792</v>
      </c>
      <c r="M45" s="34">
        <f>'Intermediate CTC'!I45+'Intermediate CTC'!I46*CTC!$G45</f>
        <v>85.143798289184019</v>
      </c>
      <c r="N45" s="34">
        <f>'Intermediate CTC'!J45+'Intermediate CTC'!J46*CTC!$G45</f>
        <v>208.17688426363989</v>
      </c>
      <c r="P45" s="34">
        <f>'Intermediate CTC'!L45+'Intermediate CTC'!L46*CTC!$G45</f>
        <v>133.5807017543861</v>
      </c>
      <c r="Q45" s="34">
        <f>'Intermediate CTC'!M45+'Intermediate CTC'!M46*CTC!$G45</f>
        <v>7.2672268907567172</v>
      </c>
      <c r="R45" s="34">
        <f>'Intermediate CTC'!N45+'Intermediate CTC'!N46*CTC!$G45</f>
        <v>235.8241456582623</v>
      </c>
    </row>
    <row r="46" spans="1:22" x14ac:dyDescent="0.3">
      <c r="A46" s="5"/>
      <c r="B46" s="6" t="s">
        <v>5</v>
      </c>
      <c r="C46" s="18" t="str">
        <f>'Intermediate CTC'!C46</f>
        <v>1.25 (1.19, 1.36)</v>
      </c>
      <c r="D46" s="50" t="str">
        <f>'Intermediate CTC'!G46</f>
        <v>1.35 (1.18, 1.50)</v>
      </c>
      <c r="E46" s="97" t="str">
        <f>'Intermediate CTC'!K46</f>
        <v>1.02 (0.89, 1.44)</v>
      </c>
      <c r="F46" s="17"/>
      <c r="G46" s="41">
        <v>350</v>
      </c>
      <c r="H46" s="39">
        <f>'Intermediate CTC'!D45+'Intermediate CTC'!D46*CTC!$G46</f>
        <v>392.27374358820202</v>
      </c>
      <c r="I46" s="34">
        <f>'Intermediate CTC'!E45+'Intermediate CTC'!E46*CTC!$G46</f>
        <v>342.19018492104811</v>
      </c>
      <c r="J46" s="34">
        <f>'Intermediate CTC'!F45+'Intermediate CTC'!F46*CTC!$G46</f>
        <v>446.67269977774191</v>
      </c>
      <c r="K46" s="17"/>
      <c r="L46" s="34">
        <f>'Intermediate CTC'!H45+'Intermediate CTC'!H46*CTC!$G46</f>
        <v>402.04897959183592</v>
      </c>
      <c r="M46" s="34">
        <f>'Intermediate CTC'!I45+'Intermediate CTC'!I46*CTC!$G46</f>
        <v>309.95616032009002</v>
      </c>
      <c r="N46" s="34">
        <f>'Intermediate CTC'!J45+'Intermediate CTC'!J46*CTC!$G46</f>
        <v>492.32866997792661</v>
      </c>
      <c r="P46" s="34">
        <f>'Intermediate CTC'!L45+'Intermediate CTC'!L46*CTC!$G46</f>
        <v>326.91403508772078</v>
      </c>
      <c r="Q46" s="34">
        <f>'Intermediate CTC'!M45+'Intermediate CTC'!M46*CTC!$G46</f>
        <v>175.55294117647222</v>
      </c>
      <c r="R46" s="34">
        <f>'Intermediate CTC'!N45+'Intermediate CTC'!N46*CTC!$G46</f>
        <v>509.3815686274508</v>
      </c>
    </row>
    <row r="47" spans="1:22" x14ac:dyDescent="0.3">
      <c r="A47" s="5" t="s">
        <v>22</v>
      </c>
      <c r="B47" s="6" t="s">
        <v>4</v>
      </c>
      <c r="C47" s="18" t="str">
        <f>'Intermediate CTC'!C47</f>
        <v>-0.19 (-0.32, -0.10)</v>
      </c>
      <c r="D47" s="50" t="str">
        <f>'Intermediate CTC'!G47</f>
        <v>-0.26 (-0.52, -0.09)</v>
      </c>
      <c r="E47" s="97" t="str">
        <f>'Intermediate CTC'!K47</f>
        <v>-0.40 (-0.77, -0.06)</v>
      </c>
      <c r="F47" s="17"/>
      <c r="G47" s="41">
        <v>0.32</v>
      </c>
      <c r="H47" s="58">
        <f>'Intermediate CTC'!D47+'Intermediate CTC'!D48*CTC!$G47</f>
        <v>0.18228444577340777</v>
      </c>
      <c r="I47" s="59">
        <f>'Intermediate CTC'!E47+'Intermediate CTC'!E48*CTC!$G47</f>
        <v>2.1168974611730063E-2</v>
      </c>
      <c r="J47" s="59">
        <f>'Intermediate CTC'!F47+'Intermediate CTC'!F48*CTC!$G47</f>
        <v>0.31968115143294179</v>
      </c>
      <c r="K47" s="60"/>
      <c r="L47" s="59">
        <f>'Intermediate CTC'!H47+'Intermediate CTC'!H48*CTC!$G47</f>
        <v>0.14816129032258019</v>
      </c>
      <c r="M47" s="59">
        <f>'Intermediate CTC'!I47+'Intermediate CTC'!I48*CTC!$G47</f>
        <v>-0.1765081453634082</v>
      </c>
      <c r="N47" s="59">
        <f>'Intermediate CTC'!J47+'Intermediate CTC'!J48*CTC!$G47</f>
        <v>0.42507518796992722</v>
      </c>
      <c r="O47" s="54"/>
      <c r="P47" s="59">
        <f>'Intermediate CTC'!L47+'Intermediate CTC'!L48*CTC!$G47</f>
        <v>-4.1515871584075381E-2</v>
      </c>
      <c r="Q47" s="59">
        <f>'Intermediate CTC'!M47+'Intermediate CTC'!M48*CTC!$G47</f>
        <v>-0.53947403354301071</v>
      </c>
      <c r="R47" s="59">
        <f>'Intermediate CTC'!N47+'Intermediate CTC'!N48*CTC!$G47</f>
        <v>0.44722875850910604</v>
      </c>
      <c r="V47" t="s">
        <v>58</v>
      </c>
    </row>
    <row r="48" spans="1:22" x14ac:dyDescent="0.3">
      <c r="A48" s="5"/>
      <c r="B48" s="6" t="s">
        <v>5</v>
      </c>
      <c r="C48" s="18" t="str">
        <f>'Intermediate CTC'!C48</f>
        <v>1.16 (1.05, 1.32)</v>
      </c>
      <c r="D48" s="50" t="str">
        <f>'Intermediate CTC'!G48</f>
        <v>1.29 (1.07, 1.61)</v>
      </c>
      <c r="E48" s="97" t="str">
        <f>'Intermediate CTC'!K48</f>
        <v>1.13 (0.72, 1.60)</v>
      </c>
      <c r="F48" s="17"/>
      <c r="G48" s="41">
        <v>0.9</v>
      </c>
      <c r="H48" s="58">
        <f>'Intermediate CTC'!D47+'Intermediate CTC'!D48*CTC!$G48</f>
        <v>0.85569536185478989</v>
      </c>
      <c r="I48" s="59">
        <f>'Intermediate CTC'!E47+'Intermediate CTC'!E48*CTC!$G48</f>
        <v>0.63158566366098412</v>
      </c>
      <c r="J48" s="59">
        <f>'Intermediate CTC'!F47+'Intermediate CTC'!F48*CTC!$G48</f>
        <v>1.086491511426088</v>
      </c>
      <c r="K48" s="60"/>
      <c r="L48" s="59">
        <f>'Intermediate CTC'!H47+'Intermediate CTC'!H48*CTC!$G48</f>
        <v>0.89654838709677298</v>
      </c>
      <c r="M48" s="59">
        <f>'Intermediate CTC'!I47+'Intermediate CTC'!I48*CTC!$G48</f>
        <v>0.44419360902255589</v>
      </c>
      <c r="N48" s="59">
        <f>'Intermediate CTC'!J47+'Intermediate CTC'!J48*CTC!$G48</f>
        <v>1.357218045112786</v>
      </c>
      <c r="O48" s="54"/>
      <c r="P48" s="59">
        <f>'Intermediate CTC'!L47+'Intermediate CTC'!L48*CTC!$G48</f>
        <v>0.61677384786983191</v>
      </c>
      <c r="Q48" s="59">
        <f>'Intermediate CTC'!M47+'Intermediate CTC'!M48*CTC!$G48</f>
        <v>-0.1220890680343919</v>
      </c>
      <c r="R48" s="59">
        <f>'Intermediate CTC'!N47+'Intermediate CTC'!N48*CTC!$G48</f>
        <v>1.3727683255259835</v>
      </c>
    </row>
    <row r="49" spans="1:19" x14ac:dyDescent="0.3">
      <c r="A49" s="5" t="s">
        <v>21</v>
      </c>
      <c r="B49" s="6" t="s">
        <v>4</v>
      </c>
      <c r="C49" s="18" t="str">
        <f>'Intermediate CTC'!C49</f>
        <v>-0.21 (-0.31, -0.11)</v>
      </c>
      <c r="D49" s="50" t="str">
        <f>'Intermediate CTC'!G49</f>
        <v>-0.11 (-0.38, 0.07)</v>
      </c>
      <c r="E49" s="97" t="str">
        <f>'Intermediate CTC'!K49</f>
        <v>-0.38 (-0.65, -0.06)</v>
      </c>
      <c r="F49" s="17"/>
      <c r="G49" s="59">
        <v>0.5</v>
      </c>
      <c r="H49" s="58">
        <f>'Intermediate CTC'!D49+'Intermediate CTC'!D50*CTC!$G49</f>
        <v>0.390407940057792</v>
      </c>
      <c r="I49" s="59">
        <f>'Intermediate CTC'!E49+'Intermediate CTC'!E50*CTC!$G49</f>
        <v>0.23556822658995197</v>
      </c>
      <c r="J49" s="59">
        <f>'Intermediate CTC'!F49+'Intermediate CTC'!F50*CTC!$G49</f>
        <v>0.54308109589578901</v>
      </c>
      <c r="K49" s="60"/>
      <c r="L49" s="59">
        <f>'Intermediate CTC'!H49+'Intermediate CTC'!H50*CTC!$G49</f>
        <v>0.460622641509433</v>
      </c>
      <c r="M49" s="59">
        <f>'Intermediate CTC'!I49+'Intermediate CTC'!I50*CTC!$G49</f>
        <v>8.3015594541909044E-2</v>
      </c>
      <c r="N49" s="59">
        <f>'Intermediate CTC'!J49+'Intermediate CTC'!J50*CTC!$G49</f>
        <v>0.8109532163742712</v>
      </c>
      <c r="O49" s="54"/>
      <c r="P49" s="59">
        <f>'Intermediate CTC'!L49+'Intermediate CTC'!L50*CTC!$G49</f>
        <v>0.27460283687943104</v>
      </c>
      <c r="Q49" s="59">
        <f>'Intermediate CTC'!M49+'Intermediate CTC'!M50*CTC!$G49</f>
        <v>-0.17500241109101949</v>
      </c>
      <c r="R49" s="59">
        <f>'Intermediate CTC'!N49+'Intermediate CTC'!N50*CTC!$G49</f>
        <v>0.75763426763110142</v>
      </c>
    </row>
    <row r="50" spans="1:19" ht="15" thickBot="1" x14ac:dyDescent="0.35">
      <c r="A50" s="9"/>
      <c r="B50" s="10" t="s">
        <v>5</v>
      </c>
      <c r="C50" s="19" t="str">
        <f>'Intermediate CTC'!C50</f>
        <v>1.19 (1.08, 1.31)</v>
      </c>
      <c r="D50" s="51" t="str">
        <f>'Intermediate CTC'!G50</f>
        <v>1.15 (0.93, 1.47)</v>
      </c>
      <c r="E50" s="98" t="str">
        <f>'Intermediate CTC'!K50</f>
        <v>1.31 (0.94, 1.63)</v>
      </c>
      <c r="F50" s="17"/>
      <c r="G50" s="41">
        <v>0.99</v>
      </c>
      <c r="H50" s="58">
        <f>'Intermediate CTC'!D49+'Intermediate CTC'!D50*CTC!$G50</f>
        <v>0.97568557644220155</v>
      </c>
      <c r="I50" s="59">
        <f>'Intermediate CTC'!E49+'Intermediate CTC'!E50*CTC!$G50</f>
        <v>0.76618256646088834</v>
      </c>
      <c r="J50" s="59">
        <f>'Intermediate CTC'!F49+'Intermediate CTC'!F50*CTC!$G50</f>
        <v>1.186796033020673</v>
      </c>
      <c r="K50" s="60"/>
      <c r="L50" s="59">
        <f>'Intermediate CTC'!H49+'Intermediate CTC'!H50*CTC!$G50</f>
        <v>1.0245849056603737</v>
      </c>
      <c r="M50" s="59">
        <f>'Intermediate CTC'!I49+'Intermediate CTC'!I50*CTC!$G50</f>
        <v>0.53671929824561282</v>
      </c>
      <c r="N50" s="59">
        <f>'Intermediate CTC'!J49+'Intermediate CTC'!J50*CTC!$G50</f>
        <v>1.533058479532168</v>
      </c>
      <c r="O50" s="54"/>
      <c r="P50" s="59">
        <f>'Intermediate CTC'!L49+'Intermediate CTC'!L50*CTC!$G50</f>
        <v>0.9175106382978695</v>
      </c>
      <c r="Q50" s="59">
        <f>'Intermediate CTC'!M49+'Intermediate CTC'!M50*CTC!$G50</f>
        <v>0.2858309222423141</v>
      </c>
      <c r="R50" s="59">
        <f>'Intermediate CTC'!N49+'Intermediate CTC'!N50*CTC!$G50</f>
        <v>1.5577608499095807</v>
      </c>
    </row>
    <row r="51" spans="1:19" ht="47.4" customHeight="1" thickBot="1" x14ac:dyDescent="0.35">
      <c r="A51" t="s">
        <v>1</v>
      </c>
      <c r="B51" s="1" t="s">
        <v>24</v>
      </c>
      <c r="C51" s="1" t="s">
        <v>39</v>
      </c>
      <c r="D51" s="1" t="s">
        <v>34</v>
      </c>
      <c r="E51" s="1" t="s">
        <v>35</v>
      </c>
      <c r="F51" s="1" t="s">
        <v>27</v>
      </c>
      <c r="G51" s="1" t="s">
        <v>69</v>
      </c>
      <c r="H51" s="21" t="s">
        <v>70</v>
      </c>
      <c r="I51" s="21" t="s">
        <v>71</v>
      </c>
      <c r="J51" s="21" t="s">
        <v>72</v>
      </c>
      <c r="K51" s="1" t="s">
        <v>34</v>
      </c>
      <c r="L51" s="1"/>
      <c r="M51" s="1"/>
      <c r="N51" s="1"/>
      <c r="O51" s="1" t="s">
        <v>35</v>
      </c>
    </row>
    <row r="52" spans="1:19" x14ac:dyDescent="0.3">
      <c r="A52" s="4" t="s">
        <v>142</v>
      </c>
      <c r="B52" s="161" t="s">
        <v>4</v>
      </c>
      <c r="C52" s="149" t="str">
        <f>'Intermediate CTC'!C52</f>
        <v>-13.65 (-19.34, -5.20)</v>
      </c>
      <c r="D52" s="149" t="str">
        <f>'Intermediate CTC'!G52</f>
        <v>58.25 (11.70, 122.09)</v>
      </c>
      <c r="E52" s="150" t="str">
        <f>'Intermediate CTC'!K52</f>
        <v>-97.04 (-113.17, -83.65)</v>
      </c>
      <c r="F52" s="1"/>
      <c r="G52" s="1">
        <v>2000</v>
      </c>
      <c r="H52" s="176">
        <f>'Intermediate CTC'!D52+'Intermediate CTC'!D53*CTC!$G52</f>
        <v>2009.2530967694813</v>
      </c>
      <c r="I52" s="177">
        <f>'Intermediate CTC'!E52+'Intermediate CTC'!E53*CTC!$G52</f>
        <v>1999.0216605237035</v>
      </c>
      <c r="J52" s="177">
        <f>'Intermediate CTC'!F52+'Intermediate CTC'!F53*CTC!$G52</f>
        <v>2020.5791451319699</v>
      </c>
      <c r="K52" s="1"/>
      <c r="L52" s="177">
        <f>'Intermediate CTC'!H52+'Intermediate CTC'!H53*CTC!$G52</f>
        <v>1977.4707520891361</v>
      </c>
      <c r="M52" s="177">
        <f>'Intermediate CTC'!I52+'Intermediate CTC'!I53*CTC!$G52</f>
        <v>1892.0632962246398</v>
      </c>
      <c r="N52" s="177">
        <f>'Intermediate CTC'!J52+'Intermediate CTC'!J53*CTC!$G52</f>
        <v>2065.1765570321509</v>
      </c>
      <c r="O52" s="178"/>
      <c r="P52" s="177">
        <f>'Intermediate CTC'!L52+'Intermediate CTC'!L53*CTC!$G52</f>
        <v>1988.537897310513</v>
      </c>
      <c r="Q52" s="177">
        <f>'Intermediate CTC'!M52+'Intermediate CTC'!M53*CTC!$G52</f>
        <v>1966.2292654713692</v>
      </c>
      <c r="R52" s="177">
        <f>'Intermediate CTC'!N52+'Intermediate CTC'!N53*CTC!$G52</f>
        <v>2008.6550607287531</v>
      </c>
    </row>
    <row r="53" spans="1:19" x14ac:dyDescent="0.3">
      <c r="A53" s="6"/>
      <c r="B53" s="162" t="s">
        <v>5</v>
      </c>
      <c r="C53" s="151" t="str">
        <f>'Intermediate CTC'!C53</f>
        <v>1.01 (1.01, 1.01)</v>
      </c>
      <c r="D53" s="151" t="str">
        <f>'Intermediate CTC'!G53</f>
        <v>0.96 (0.94, 0.97)</v>
      </c>
      <c r="E53" s="152" t="str">
        <f>'Intermediate CTC'!K53</f>
        <v>1.04 (1.04, 1.05)</v>
      </c>
      <c r="F53" s="1"/>
      <c r="G53" s="1">
        <v>6100</v>
      </c>
      <c r="H53" s="176">
        <f>'Intermediate CTC'!D52+'Intermediate CTC'!D53*CTC!$G53</f>
        <v>6156.2007021540467</v>
      </c>
      <c r="I53" s="177">
        <f>'Intermediate CTC'!E52+'Intermediate CTC'!E53*CTC!$G53</f>
        <v>6136.659345045965</v>
      </c>
      <c r="J53" s="177">
        <f>'Intermediate CTC'!F52+'Intermediate CTC'!F53*CTC!$G53</f>
        <v>6173.4213755051605</v>
      </c>
      <c r="K53" s="1"/>
      <c r="L53" s="177">
        <f>'Intermediate CTC'!H52+'Intermediate CTC'!H53*CTC!$G53</f>
        <v>5911.8718662952633</v>
      </c>
      <c r="M53" s="177">
        <f>'Intermediate CTC'!I52+'Intermediate CTC'!I53*CTC!$G53</f>
        <v>5746.8097201518176</v>
      </c>
      <c r="N53" s="177">
        <f>'Intermediate CTC'!J52+'Intermediate CTC'!J53*CTC!$G53</f>
        <v>6048.5098903654862</v>
      </c>
      <c r="O53" s="178"/>
      <c r="P53" s="177">
        <f>'Intermediate CTC'!L52+'Intermediate CTC'!L53*CTC!$G53</f>
        <v>6263.9657701711503</v>
      </c>
      <c r="Q53" s="177">
        <f>'Intermediate CTC'!M52+'Intermediate CTC'!M53*CTC!$G53</f>
        <v>6228.9961827645993</v>
      </c>
      <c r="R53" s="177">
        <f>'Intermediate CTC'!N52+'Intermediate CTC'!N53*CTC!$G53</f>
        <v>6297.8858299595377</v>
      </c>
    </row>
    <row r="54" spans="1:19" x14ac:dyDescent="0.3">
      <c r="A54" s="5" t="s">
        <v>104</v>
      </c>
      <c r="B54" s="6" t="s">
        <v>4</v>
      </c>
      <c r="C54" s="41" t="str">
        <f>'Intermediate CTC'!C54</f>
        <v>-0.64 (-13.88, 11.40)</v>
      </c>
      <c r="D54" s="50" t="str">
        <f>'Intermediate CTC'!G54</f>
        <v>47.61 (28.95, 78.00)</v>
      </c>
      <c r="E54" s="97" t="str">
        <f>'Intermediate CTC'!K54</f>
        <v>43.11 (17.78, 78.85)</v>
      </c>
      <c r="G54" s="20">
        <v>400</v>
      </c>
      <c r="H54" s="55">
        <f>'Intermediate CTC'!D54+'Intermediate CTC'!D55*CTC!$G54</f>
        <v>411.38088819387963</v>
      </c>
      <c r="I54" s="35">
        <f>'Intermediate CTC'!E54+'Intermediate CTC'!E55*CTC!$G54</f>
        <v>391.03535249273028</v>
      </c>
      <c r="J54" s="35">
        <f>'Intermediate CTC'!F54+'Intermediate CTC'!F55*CTC!$G54</f>
        <v>431.53207222852257</v>
      </c>
      <c r="L54" s="35">
        <f>'Intermediate CTC'!H54+'Intermediate CTC'!H55*CTC!$G54</f>
        <v>464.10309278350439</v>
      </c>
      <c r="M54" s="35">
        <f>'Intermediate CTC'!I54+'Intermediate CTC'!I55*CTC!$G54</f>
        <v>428.94841269841271</v>
      </c>
      <c r="N54" s="35">
        <f>'Intermediate CTC'!J54+'Intermediate CTC'!J55*CTC!$G54</f>
        <v>504.98412698412818</v>
      </c>
      <c r="P54" s="35">
        <f>'Intermediate CTC'!L54+'Intermediate CTC'!L55*CTC!$G54</f>
        <v>416.10500000000002</v>
      </c>
      <c r="Q54" s="35">
        <f>'Intermediate CTC'!M54+'Intermediate CTC'!M55*CTC!$G54</f>
        <v>370.19934253430415</v>
      </c>
      <c r="R54" s="35">
        <f>'Intermediate CTC'!N54+'Intermediate CTC'!N55*CTC!$G54</f>
        <v>466.76562811930205</v>
      </c>
    </row>
    <row r="55" spans="1:19" x14ac:dyDescent="0.3">
      <c r="A55" s="5"/>
      <c r="B55" s="6" t="s">
        <v>5</v>
      </c>
      <c r="C55" s="41" t="str">
        <f>'Intermediate CTC'!C55</f>
        <v>1.03 (1.01, 1.05)</v>
      </c>
      <c r="D55" s="50" t="str">
        <f>'Intermediate CTC'!G55</f>
        <v>1.04 (1.00, 1.07)</v>
      </c>
      <c r="E55" s="97" t="str">
        <f>'Intermediate CTC'!K55</f>
        <v>0.93 (0.88, 0.97)</v>
      </c>
      <c r="G55" s="20">
        <v>1075</v>
      </c>
      <c r="H55" s="55">
        <f>'Intermediate CTC'!D54+'Intermediate CTC'!D55*CTC!$G55</f>
        <v>1106.6599874328299</v>
      </c>
      <c r="I55" s="35">
        <f>'Intermediate CTC'!E54+'Intermediate CTC'!E55*CTC!$G55</f>
        <v>1074.3287494717147</v>
      </c>
      <c r="J55" s="35">
        <f>'Intermediate CTC'!F54+'Intermediate CTC'!F55*CTC!$G55</f>
        <v>1140.5002307236573</v>
      </c>
      <c r="L55" s="35">
        <f>'Intermediate CTC'!H54+'Intermediate CTC'!H55*CTC!$G55</f>
        <v>1166.9381443298948</v>
      </c>
      <c r="M55" s="35">
        <f>'Intermediate CTC'!I54+'Intermediate CTC'!I55*CTC!$G55</f>
        <v>1103.9484126984128</v>
      </c>
      <c r="N55" s="35">
        <f>'Intermediate CTC'!J54+'Intermediate CTC'!J55*CTC!$G55</f>
        <v>1225.5198412698442</v>
      </c>
      <c r="P55" s="35">
        <f>'Intermediate CTC'!L54+'Intermediate CTC'!L55*CTC!$G55</f>
        <v>1045.5425</v>
      </c>
      <c r="Q55" s="35">
        <f>'Intermediate CTC'!M54+'Intermediate CTC'!M55*CTC!$G55</f>
        <v>964.91299892196935</v>
      </c>
      <c r="R55" s="35">
        <f>'Intermediate CTC'!N54+'Intermediate CTC'!N55*CTC!$G55</f>
        <v>1121.3728788745889</v>
      </c>
    </row>
    <row r="56" spans="1:19" x14ac:dyDescent="0.3">
      <c r="A56" s="5" t="s">
        <v>11</v>
      </c>
      <c r="B56" s="6" t="s">
        <v>4</v>
      </c>
      <c r="C56" s="41" t="str">
        <f>'Intermediate CTC'!C56</f>
        <v>226.94 (185.10, 259.26)</v>
      </c>
      <c r="D56" s="50" t="str">
        <f>'Intermediate CTC'!G56</f>
        <v>77.47 (-5.49, 125.67)</v>
      </c>
      <c r="E56" s="97" t="str">
        <f>'Intermediate CTC'!K56</f>
        <v>303.30 (237.76, 360.83)</v>
      </c>
      <c r="G56" s="20">
        <v>675</v>
      </c>
      <c r="H56" s="55">
        <f>'Intermediate CTC'!D56+'Intermediate CTC'!D57*CTC!$G56</f>
        <v>799.71903747193448</v>
      </c>
      <c r="I56" s="35">
        <f>'Intermediate CTC'!E56+'Intermediate CTC'!E57*CTC!$G56</f>
        <v>734.47170421771898</v>
      </c>
      <c r="J56" s="35">
        <f>'Intermediate CTC'!F56+'Intermediate CTC'!F57*CTC!$G56</f>
        <v>859.9793396660948</v>
      </c>
      <c r="L56" s="35">
        <f>'Intermediate CTC'!H56+'Intermediate CTC'!H57*CTC!$G56</f>
        <v>790.74742268041564</v>
      </c>
      <c r="M56" s="35">
        <f>'Intermediate CTC'!I56+'Intermediate CTC'!I57*CTC!$G56</f>
        <v>674.19382911392097</v>
      </c>
      <c r="N56" s="35">
        <f>'Intermediate CTC'!J56+'Intermediate CTC'!J57*CTC!$G56</f>
        <v>894.65400843881628</v>
      </c>
      <c r="P56" s="35">
        <f>'Intermediate CTC'!L56+'Intermediate CTC'!L57*CTC!$G56</f>
        <v>743.52173913043475</v>
      </c>
      <c r="Q56" s="35">
        <f>'Intermediate CTC'!M56+'Intermediate CTC'!M57*CTC!$G56</f>
        <v>636.92607238408868</v>
      </c>
      <c r="R56" s="35">
        <f>'Intermediate CTC'!N56+'Intermediate CTC'!N57*CTC!$G56</f>
        <v>847.67017022902951</v>
      </c>
    </row>
    <row r="57" spans="1:19" x14ac:dyDescent="0.3">
      <c r="A57" s="5"/>
      <c r="B57" s="6" t="s">
        <v>5</v>
      </c>
      <c r="C57" s="41" t="str">
        <f>'Intermediate CTC'!C57</f>
        <v>0.85 (0.81, 0.89)</v>
      </c>
      <c r="D57" s="50" t="str">
        <f>'Intermediate CTC'!G57</f>
        <v>1.06 (1.01, 1.14)</v>
      </c>
      <c r="E57" s="97" t="str">
        <f>'Intermediate CTC'!K57</f>
        <v>0.65 (0.59, 0.72)</v>
      </c>
      <c r="G57" s="41">
        <v>1500</v>
      </c>
      <c r="H57" s="55">
        <f>'Intermediate CTC'!D56+'Intermediate CTC'!D57*CTC!$G57</f>
        <v>1499.7808540944134</v>
      </c>
      <c r="I57" s="35">
        <f>'Intermediate CTC'!E56+'Intermediate CTC'!E57*CTC!$G57</f>
        <v>1405.9290133200436</v>
      </c>
      <c r="J57" s="35">
        <f>'Intermediate CTC'!F56+'Intermediate CTC'!F57*CTC!$G57</f>
        <v>1594.1956557575113</v>
      </c>
      <c r="L57" s="35">
        <f>'Intermediate CTC'!H56+'Intermediate CTC'!H57*CTC!$G57</f>
        <v>1662.5257731958836</v>
      </c>
      <c r="M57" s="35">
        <f>'Intermediate CTC'!I56+'Intermediate CTC'!I57*CTC!$G57</f>
        <v>1504.922995780584</v>
      </c>
      <c r="N57" s="35">
        <f>'Intermediate CTC'!J56+'Intermediate CTC'!J57*CTC!$G57</f>
        <v>1834.527426160332</v>
      </c>
      <c r="P57" s="35">
        <f>'Intermediate CTC'!L56+'Intermediate CTC'!L57*CTC!$G57</f>
        <v>1281.565217391304</v>
      </c>
      <c r="Q57" s="35">
        <f>'Intermediate CTC'!M56+'Intermediate CTC'!M57*CTC!$G57</f>
        <v>1124.7998265369124</v>
      </c>
      <c r="R57" s="35">
        <f>'Intermediate CTC'!N56+'Intermediate CTC'!N57*CTC!$G57</f>
        <v>1442.6922941228345</v>
      </c>
    </row>
    <row r="58" spans="1:19" x14ac:dyDescent="0.3">
      <c r="A58" s="5" t="s">
        <v>13</v>
      </c>
      <c r="B58" s="6" t="s">
        <v>4</v>
      </c>
      <c r="C58" s="18" t="str">
        <f>'Intermediate CTC'!C58</f>
        <v>-2.24 (-4.86, -0.61)</v>
      </c>
      <c r="D58" s="50" t="str">
        <f>'Intermediate CTC'!G58</f>
        <v>*-3.35 (0.00, 0.00)</v>
      </c>
      <c r="E58" s="97" t="str">
        <f>'Intermediate CTC'!K58</f>
        <v>*0.16 (0.00, 0.00)</v>
      </c>
      <c r="G58" s="41"/>
      <c r="H58" s="14"/>
    </row>
    <row r="59" spans="1:19" x14ac:dyDescent="0.3">
      <c r="A59" s="5"/>
      <c r="B59" s="6" t="s">
        <v>5</v>
      </c>
      <c r="C59" s="18" t="str">
        <f>'Intermediate CTC'!C59</f>
        <v>0.90 (0.79, 1.08)</v>
      </c>
      <c r="D59" s="50" t="str">
        <f>'Intermediate CTC'!G59</f>
        <v>*0.70 (0.52, 0.95)</v>
      </c>
      <c r="E59" s="97" t="str">
        <f>'Intermediate CTC'!K59</f>
        <v>*0.74 (0.62, 0.88)</v>
      </c>
      <c r="G59" s="41"/>
      <c r="H59" s="14"/>
    </row>
    <row r="60" spans="1:19" x14ac:dyDescent="0.3">
      <c r="A60" s="5" t="s">
        <v>14</v>
      </c>
      <c r="B60" s="6" t="s">
        <v>4</v>
      </c>
      <c r="C60" s="41" t="str">
        <f>'Intermediate CTC'!C60</f>
        <v>195.07 (134.84, 236.29)</v>
      </c>
      <c r="D60" s="50" t="str">
        <f>'Intermediate CTC'!G60</f>
        <v>114.13 (42.56, 205.65)</v>
      </c>
      <c r="E60" s="97" t="str">
        <f>'Intermediate CTC'!K60</f>
        <v>315.41 (206.91, 413.46)</v>
      </c>
      <c r="G60" s="41">
        <v>1000</v>
      </c>
      <c r="H60" s="55">
        <f>'Intermediate CTC'!D60+'Intermediate CTC'!D61*CTC!$G60</f>
        <v>1135.9968899868459</v>
      </c>
      <c r="I60" s="35">
        <f>'Intermediate CTC'!E60+'Intermediate CTC'!E61*CTC!$G60</f>
        <v>1051.1174616799781</v>
      </c>
      <c r="J60" s="35">
        <f>'Intermediate CTC'!F60+'Intermediate CTC'!F61*CTC!$G60</f>
        <v>1212.6704935277921</v>
      </c>
      <c r="L60" s="35">
        <f>'Intermediate CTC'!H60+'Intermediate CTC'!H61*CTC!$G60</f>
        <v>1166.9055555555581</v>
      </c>
      <c r="M60" s="35">
        <f>'Intermediate CTC'!I60+'Intermediate CTC'!I61*CTC!$G60</f>
        <v>1039.7346126085768</v>
      </c>
      <c r="N60" s="35">
        <f>'Intermediate CTC'!J60+'Intermediate CTC'!J61*CTC!$G60</f>
        <v>1298.1607307299839</v>
      </c>
      <c r="P60" s="35">
        <f>'Intermediate CTC'!L60+'Intermediate CTC'!L61*CTC!$G60</f>
        <v>1101.346875</v>
      </c>
      <c r="Q60" s="35">
        <f>'Intermediate CTC'!M60+'Intermediate CTC'!M61*CTC!$G60</f>
        <v>936.43290043290096</v>
      </c>
      <c r="R60" s="35">
        <f>'Intermediate CTC'!N60+'Intermediate CTC'!N61*CTC!$G60</f>
        <v>1261.9400865800869</v>
      </c>
    </row>
    <row r="61" spans="1:19" x14ac:dyDescent="0.3">
      <c r="A61" s="5"/>
      <c r="B61" s="6" t="s">
        <v>5</v>
      </c>
      <c r="C61" s="22" t="str">
        <f>'Intermediate CTC'!C61</f>
        <v>0.94 (0.92, 0.98)</v>
      </c>
      <c r="D61" s="50" t="str">
        <f>'Intermediate CTC'!G61</f>
        <v>1.05 (1.00, 1.09)</v>
      </c>
      <c r="E61" s="97" t="str">
        <f>'Intermediate CTC'!K61</f>
        <v>0.79 (0.73, 0.85)</v>
      </c>
      <c r="G61" s="41">
        <v>2600</v>
      </c>
      <c r="H61" s="55">
        <f>'Intermediate CTC'!D60+'Intermediate CTC'!D61*CTC!$G61</f>
        <v>2641.4867679516456</v>
      </c>
      <c r="I61" s="35">
        <f>'Intermediate CTC'!E60+'Intermediate CTC'!E61*CTC!$G61</f>
        <v>2517.1549312662019</v>
      </c>
      <c r="J61" s="35">
        <f>'Intermediate CTC'!F60+'Intermediate CTC'!F61*CTC!$G61</f>
        <v>2774.8776102099741</v>
      </c>
      <c r="L61" s="35">
        <f>'Intermediate CTC'!H60+'Intermediate CTC'!H61*CTC!$G61</f>
        <v>2851.3500000000063</v>
      </c>
      <c r="M61" s="35">
        <f>'Intermediate CTC'!I60+'Intermediate CTC'!I61*CTC!$G61</f>
        <v>2635.2148385972778</v>
      </c>
      <c r="N61" s="35">
        <f>'Intermediate CTC'!J60+'Intermediate CTC'!J61*CTC!$G61</f>
        <v>3046.17835187536</v>
      </c>
      <c r="P61" s="35">
        <f>'Intermediate CTC'!L60+'Intermediate CTC'!L61*CTC!$G61</f>
        <v>2358.8468749999997</v>
      </c>
      <c r="Q61" s="35">
        <f>'Intermediate CTC'!M60+'Intermediate CTC'!M61*CTC!$G61</f>
        <v>2103.6709956709969</v>
      </c>
      <c r="R61" s="35">
        <f>'Intermediate CTC'!N60+'Intermediate CTC'!N61*CTC!$G61</f>
        <v>2619.5158441558451</v>
      </c>
    </row>
    <row r="62" spans="1:19" x14ac:dyDescent="0.3">
      <c r="A62" s="5" t="s">
        <v>15</v>
      </c>
      <c r="B62" s="6" t="s">
        <v>4</v>
      </c>
      <c r="C62" s="41" t="str">
        <f>'Intermediate CTC'!C62</f>
        <v>-0.69 (-6.74, 0.83)</v>
      </c>
      <c r="D62" s="50" t="str">
        <f>'Intermediate CTC'!G62</f>
        <v>*0.12 (0.00, 0.00)</v>
      </c>
      <c r="E62" s="99" t="str">
        <f>'Intermediate CTC'!K62</f>
        <v>*0.86 (0.00, 0.00)</v>
      </c>
      <c r="G62" s="41"/>
      <c r="H62" s="14"/>
    </row>
    <row r="63" spans="1:19" x14ac:dyDescent="0.3">
      <c r="A63" s="5"/>
      <c r="B63" s="6" t="s">
        <v>5</v>
      </c>
      <c r="C63" s="41" t="str">
        <f>'Intermediate CTC'!C63</f>
        <v>1.10 (0.95, 1.72)</v>
      </c>
      <c r="D63" s="50" t="str">
        <f>'Intermediate CTC'!G63</f>
        <v>*1.12 (0.85, 1.48)</v>
      </c>
      <c r="E63" s="99" t="str">
        <f>'Intermediate CTC'!K63</f>
        <v>*0.97 (0.54, 1.74)</v>
      </c>
      <c r="G63" s="41"/>
      <c r="H63" s="14"/>
      <c r="S63" s="15"/>
    </row>
    <row r="64" spans="1:19" x14ac:dyDescent="0.3">
      <c r="A64" s="5" t="s">
        <v>16</v>
      </c>
      <c r="B64" s="6" t="s">
        <v>4</v>
      </c>
      <c r="C64" s="41" t="str">
        <f>'Intermediate CTC'!C64</f>
        <v>-18.05 (-33.17, -10.44)</v>
      </c>
      <c r="D64" s="50" t="str">
        <f>'Intermediate CTC'!G64</f>
        <v>-17.91 (-49.20, -9.55)</v>
      </c>
      <c r="E64" s="97" t="str">
        <f>'Intermediate CTC'!K64</f>
        <v>-16.57 (-33.83, -7.38)</v>
      </c>
      <c r="G64" s="41">
        <v>10</v>
      </c>
      <c r="H64" s="55">
        <f>'Intermediate CTC'!D64+'Intermediate CTC'!D65*CTC!$G64</f>
        <v>-7.0698256905861001</v>
      </c>
      <c r="I64" s="35">
        <f>'Intermediate CTC'!E64+'Intermediate CTC'!E65*CTC!$G64</f>
        <v>-24.390388032972439</v>
      </c>
      <c r="J64" s="35">
        <f>'Intermediate CTC'!F64+'Intermediate CTC'!F65*CTC!$G64</f>
        <v>5.4676671679070985</v>
      </c>
      <c r="L64" s="35">
        <f>'Intermediate CTC'!H64+'Intermediate CTC'!H65*CTC!$G64</f>
        <v>-7.4763440860215002</v>
      </c>
      <c r="M64" s="35">
        <f>'Intermediate CTC'!I64+'Intermediate CTC'!I65*CTC!$G64</f>
        <v>-41.342857142857241</v>
      </c>
      <c r="N64" s="35">
        <f>'Intermediate CTC'!J64+'Intermediate CTC'!J65*CTC!$G64</f>
        <v>10.44999999999999</v>
      </c>
      <c r="P64" s="35">
        <f>'Intermediate CTC'!L64+'Intermediate CTC'!L65*CTC!$G64</f>
        <v>-7.2399999999999682</v>
      </c>
      <c r="Q64" s="35">
        <f>'Intermediate CTC'!M64+'Intermediate CTC'!M65*CTC!$G64</f>
        <v>-27.19936575052861</v>
      </c>
      <c r="R64" s="35">
        <f>'Intermediate CTC'!N64+'Intermediate CTC'!N65*CTC!$G64</f>
        <v>7.4705778717407192</v>
      </c>
    </row>
    <row r="65" spans="1:18" x14ac:dyDescent="0.3">
      <c r="A65" s="5"/>
      <c r="B65" s="6" t="s">
        <v>5</v>
      </c>
      <c r="C65" s="41" t="str">
        <f>'Intermediate CTC'!C65</f>
        <v>1.10 (0.88, 1.59)</v>
      </c>
      <c r="D65" s="50" t="str">
        <f>'Intermediate CTC'!G65</f>
        <v>1.04 (0.79, 2.00)</v>
      </c>
      <c r="E65" s="97" t="str">
        <f>'Intermediate CTC'!K65</f>
        <v>0.93 (0.66, 1.48)</v>
      </c>
      <c r="G65" s="41">
        <v>45</v>
      </c>
      <c r="H65" s="55">
        <f>'Intermediate CTC'!D64+'Intermediate CTC'!D65*CTC!$G65</f>
        <v>31.369918782052849</v>
      </c>
      <c r="I65" s="35">
        <f>'Intermediate CTC'!E64+'Intermediate CTC'!E65*CTC!$G65</f>
        <v>6.3399585883181686</v>
      </c>
      <c r="J65" s="35">
        <f>'Intermediate CTC'!F64+'Intermediate CTC'!F65*CTC!$G65</f>
        <v>61.132117640769451</v>
      </c>
      <c r="L65" s="35">
        <f>'Intermediate CTC'!H64+'Intermediate CTC'!H65*CTC!$G65</f>
        <v>29.029032258064451</v>
      </c>
      <c r="M65" s="35">
        <f>'Intermediate CTC'!I64+'Intermediate CTC'!I65*CTC!$G65</f>
        <v>-13.842857142857234</v>
      </c>
      <c r="N65" s="35">
        <f>'Intermediate CTC'!J64+'Intermediate CTC'!J65*CTC!$G65</f>
        <v>80.449999999999989</v>
      </c>
      <c r="P65" s="35">
        <f>'Intermediate CTC'!L64+'Intermediate CTC'!L65*CTC!$G65</f>
        <v>25.426666666666687</v>
      </c>
      <c r="Q65" s="35">
        <f>'Intermediate CTC'!M64+'Intermediate CTC'!M65*CTC!$G65</f>
        <v>-4.0016913319239436</v>
      </c>
      <c r="R65" s="35">
        <f>'Intermediate CTC'!N64+'Intermediate CTC'!N65*CTC!$G65</f>
        <v>59.440274841437876</v>
      </c>
    </row>
    <row r="66" spans="1:18" x14ac:dyDescent="0.3">
      <c r="A66" s="5" t="s">
        <v>18</v>
      </c>
      <c r="B66" s="6" t="s">
        <v>4</v>
      </c>
      <c r="C66" s="41" t="str">
        <f>'Intermediate CTC'!C66</f>
        <v>-1.43 (-3.20, -0.07)</v>
      </c>
      <c r="D66" s="50" t="str">
        <f>'Intermediate CTC'!G66</f>
        <v>-1.89 (-4.92, -0.04)</v>
      </c>
      <c r="E66" s="97" t="str">
        <f>'Intermediate CTC'!K66</f>
        <v>-1.30 (-3.20, 0.06)</v>
      </c>
      <c r="G66" s="41">
        <v>2</v>
      </c>
      <c r="H66" s="55">
        <f>'Intermediate CTC'!D66+'Intermediate CTC'!D67*CTC!$G66</f>
        <v>0.60915609003801996</v>
      </c>
      <c r="I66" s="35">
        <f>'Intermediate CTC'!E66+'Intermediate CTC'!E67*CTC!$G66</f>
        <v>-1.4769192266472342</v>
      </c>
      <c r="J66" s="35">
        <f>'Intermediate CTC'!F66+'Intermediate CTC'!F67*CTC!$G66</f>
        <v>2.4843981815753362</v>
      </c>
      <c r="L66" s="35">
        <f>'Intermediate CTC'!H66+'Intermediate CTC'!H67*CTC!$G66</f>
        <v>-0.32432432432432212</v>
      </c>
      <c r="M66" s="35">
        <f>'Intermediate CTC'!I66+'Intermediate CTC'!I67*CTC!$G66</f>
        <v>-3.7990196078431397</v>
      </c>
      <c r="N66" s="35">
        <f>'Intermediate CTC'!J66+'Intermediate CTC'!J67*CTC!$G66</f>
        <v>2.2892156862745172</v>
      </c>
      <c r="P66" s="35">
        <f>'Intermediate CTC'!L66+'Intermediate CTC'!L67*CTC!$G66</f>
        <v>0.144680851063828</v>
      </c>
      <c r="Q66" s="35">
        <f>'Intermediate CTC'!M66+'Intermediate CTC'!M67*CTC!$G66</f>
        <v>-2.0823529411764703</v>
      </c>
      <c r="R66" s="35">
        <f>'Intermediate CTC'!N66+'Intermediate CTC'!N67*CTC!$G66</f>
        <v>2.0647058823529409</v>
      </c>
    </row>
    <row r="67" spans="1:18" x14ac:dyDescent="0.3">
      <c r="A67" s="5"/>
      <c r="B67" s="6" t="s">
        <v>5</v>
      </c>
      <c r="C67" s="41" t="str">
        <f>'Intermediate CTC'!C67</f>
        <v>1.02 (0.86, 1.28)</v>
      </c>
      <c r="D67" s="50" t="str">
        <f>'Intermediate CTC'!G67</f>
        <v>0.78 (0.56, 1.17)</v>
      </c>
      <c r="E67" s="97" t="str">
        <f>'Intermediate CTC'!K67</f>
        <v>0.72 (0.56, 1.00)</v>
      </c>
      <c r="G67" s="41">
        <v>15</v>
      </c>
      <c r="H67" s="55">
        <f>'Intermediate CTC'!D66+'Intermediate CTC'!D67*CTC!$G67</f>
        <v>13.840634558234969</v>
      </c>
      <c r="I67" s="35">
        <f>'Intermediate CTC'!E66+'Intermediate CTC'!E67*CTC!$G67</f>
        <v>9.7463943544447567</v>
      </c>
      <c r="J67" s="35">
        <f>'Intermediate CTC'!F66+'Intermediate CTC'!F67*CTC!$G67</f>
        <v>19.095212922465706</v>
      </c>
      <c r="L67" s="35">
        <f>'Intermediate CTC'!H66+'Intermediate CTC'!H67*CTC!$G67</f>
        <v>9.8648648648648702</v>
      </c>
      <c r="M67" s="35">
        <f>'Intermediate CTC'!I66+'Intermediate CTC'!I67*CTC!$G67</f>
        <v>3.4656862745098067</v>
      </c>
      <c r="N67" s="35">
        <f>'Intermediate CTC'!J66+'Intermediate CTC'!J67*CTC!$G67</f>
        <v>17.455882352941227</v>
      </c>
      <c r="P67" s="35">
        <f>'Intermediate CTC'!L66+'Intermediate CTC'!L67*CTC!$G67</f>
        <v>9.5489361702127642</v>
      </c>
      <c r="Q67" s="35">
        <f>'Intermediate CTC'!M66+'Intermediate CTC'!M67*CTC!$G67</f>
        <v>5.1823529411764762</v>
      </c>
      <c r="R67" s="35">
        <f>'Intermediate CTC'!N66+'Intermediate CTC'!N67*CTC!$G67</f>
        <v>15.064705882352941</v>
      </c>
    </row>
    <row r="68" spans="1:18" x14ac:dyDescent="0.3">
      <c r="A68" s="5" t="s">
        <v>19</v>
      </c>
      <c r="B68" s="6" t="s">
        <v>4</v>
      </c>
      <c r="C68" s="41" t="str">
        <f>'Intermediate CTC'!C68</f>
        <v>-393.60 (-785.29, -178.49)</v>
      </c>
      <c r="D68" s="50" t="str">
        <f>'Intermediate CTC'!G68</f>
        <v>-500.45 (-1118.25, -185.15)</v>
      </c>
      <c r="E68" s="97" t="str">
        <f>'Intermediate CTC'!K68</f>
        <v>-569.49 (-892.06, -281.75)</v>
      </c>
      <c r="G68" s="41">
        <v>175</v>
      </c>
      <c r="H68" s="55">
        <f>'Intermediate CTC'!D68+'Intermediate CTC'!D69*CTC!$G68</f>
        <v>-160.00719605639426</v>
      </c>
      <c r="I68" s="35">
        <f>'Intermediate CTC'!E68+'Intermediate CTC'!E69*CTC!$G68</f>
        <v>-633.15899405728601</v>
      </c>
      <c r="J68" s="35">
        <f>'Intermediate CTC'!F68+'Intermediate CTC'!F69*CTC!$G68</f>
        <v>211.55975251792702</v>
      </c>
      <c r="L68" s="35">
        <f>'Intermediate CTC'!H68+'Intermediate CTC'!H69*CTC!$G68</f>
        <v>-208.06738131699876</v>
      </c>
      <c r="M68" s="35">
        <f>'Intermediate CTC'!I68+'Intermediate CTC'!I69*CTC!$G68</f>
        <v>-945.82939059354885</v>
      </c>
      <c r="N68" s="35">
        <f>'Intermediate CTC'!J68+'Intermediate CTC'!J69*CTC!$G68</f>
        <v>352.27390000958673</v>
      </c>
      <c r="P68" s="35">
        <f>'Intermediate CTC'!L68+'Intermediate CTC'!L69*CTC!$G68</f>
        <v>-281.6873493975902</v>
      </c>
      <c r="Q68" s="35">
        <f>'Intermediate CTC'!M68+'Intermediate CTC'!M69*CTC!$G68</f>
        <v>-714.48099644956494</v>
      </c>
      <c r="R68" s="35">
        <f>'Intermediate CTC'!N68+'Intermediate CTC'!N69*CTC!$G68</f>
        <v>134.19504103370048</v>
      </c>
    </row>
    <row r="69" spans="1:18" x14ac:dyDescent="0.3">
      <c r="A69" s="5"/>
      <c r="B69" s="6" t="s">
        <v>5</v>
      </c>
      <c r="C69" s="18" t="str">
        <f>'Intermediate CTC'!C69</f>
        <v>1.33 (0.87, 2.23)</v>
      </c>
      <c r="D69" s="50" t="str">
        <f>'Intermediate CTC'!G69</f>
        <v>1.67 (0.99, 3.07)</v>
      </c>
      <c r="E69" s="97" t="str">
        <f>'Intermediate CTC'!K69</f>
        <v>1.64 (1.01, 2.38)</v>
      </c>
      <c r="G69" s="41">
        <v>600</v>
      </c>
      <c r="H69" s="55">
        <f>'Intermediate CTC'!D68+'Intermediate CTC'!D69*CTC!$G69</f>
        <v>407.28356392687596</v>
      </c>
      <c r="I69" s="35">
        <f>'Intermediate CTC'!E68+'Intermediate CTC'!E69*CTC!$G69</f>
        <v>-263.695329127528</v>
      </c>
      <c r="J69" s="35">
        <f>'Intermediate CTC'!F68+'Intermediate CTC'!F69*CTC!$G69</f>
        <v>1158.830103577322</v>
      </c>
      <c r="L69" s="35">
        <f>'Intermediate CTC'!H68+'Intermediate CTC'!H69*CTC!$G69</f>
        <v>502.00153139356701</v>
      </c>
      <c r="M69" s="35">
        <f>'Intermediate CTC'!I68+'Intermediate CTC'!I69*CTC!$G69</f>
        <v>-527.08859530636164</v>
      </c>
      <c r="N69" s="35">
        <f>'Intermediate CTC'!J68+'Intermediate CTC'!J69*CTC!$G69</f>
        <v>1657.4514148024889</v>
      </c>
      <c r="P69" s="35">
        <f>'Intermediate CTC'!L68+'Intermediate CTC'!L69*CTC!$G69</f>
        <v>417.2584337349391</v>
      </c>
      <c r="Q69" s="35">
        <f>'Intermediate CTC'!M68+'Intermediate CTC'!M69*CTC!$G69</f>
        <v>-283.22262964902802</v>
      </c>
      <c r="R69" s="35">
        <f>'Intermediate CTC'!N68+'Intermediate CTC'!N69*CTC!$G69</f>
        <v>1144.3399685699328</v>
      </c>
    </row>
    <row r="70" spans="1:18" x14ac:dyDescent="0.3">
      <c r="A70" s="5" t="s">
        <v>20</v>
      </c>
      <c r="B70" s="6" t="s">
        <v>4</v>
      </c>
      <c r="C70" s="18" t="str">
        <f>'Intermediate CTC'!C70</f>
        <v>19.96 (-34.36, 65.28)</v>
      </c>
      <c r="D70" s="50" t="str">
        <f>'Intermediate CTC'!G70</f>
        <v>44.26 (-99.34, 140.83)</v>
      </c>
      <c r="E70" s="97" t="str">
        <f>'Intermediate CTC'!K70</f>
        <v>28.72 (-6.16, 93.38)</v>
      </c>
      <c r="G70" s="41">
        <v>160</v>
      </c>
      <c r="H70" s="55">
        <f>'Intermediate CTC'!D70+'Intermediate CTC'!D71*CTC!$G70</f>
        <v>197.21856186137401</v>
      </c>
      <c r="I70" s="35">
        <f>'Intermediate CTC'!E70+'Intermediate CTC'!E71*CTC!$G70</f>
        <v>108.45472410396589</v>
      </c>
      <c r="J70" s="35">
        <f>'Intermediate CTC'!F70+'Intermediate CTC'!F71*CTC!$G70</f>
        <v>278.73622289203831</v>
      </c>
      <c r="L70" s="35">
        <f>'Intermediate CTC'!H70+'Intermediate CTC'!H71*CTC!$G70</f>
        <v>202.16017505470458</v>
      </c>
      <c r="M70" s="35">
        <f>'Intermediate CTC'!I70+'Intermediate CTC'!I71*CTC!$G70</f>
        <v>-11.551844556450419</v>
      </c>
      <c r="N70" s="35">
        <f>'Intermediate CTC'!J70+'Intermediate CTC'!J71*CTC!$G70</f>
        <v>400.56130132797784</v>
      </c>
      <c r="P70" s="35">
        <f>'Intermediate CTC'!L70+'Intermediate CTC'!L71*CTC!$G70</f>
        <v>185.96379310344858</v>
      </c>
      <c r="Q70" s="35">
        <f>'Intermediate CTC'!M70+'Intermediate CTC'!M71*CTC!$G70</f>
        <v>104.9638885402303</v>
      </c>
      <c r="R70" s="35">
        <f>'Intermediate CTC'!N70+'Intermediate CTC'!N71*CTC!$G70</f>
        <v>274.02570603740338</v>
      </c>
    </row>
    <row r="71" spans="1:18" x14ac:dyDescent="0.3">
      <c r="A71" s="5"/>
      <c r="B71" s="6" t="s">
        <v>5</v>
      </c>
      <c r="C71" s="18" t="str">
        <f>'Intermediate CTC'!C71</f>
        <v>1.11 (0.89, 1.33)</v>
      </c>
      <c r="D71" s="50" t="str">
        <f>'Intermediate CTC'!G71</f>
        <v>0.99 (0.55, 1.62)</v>
      </c>
      <c r="E71" s="97" t="str">
        <f>'Intermediate CTC'!K71</f>
        <v>0.98 (0.69, 1.13)</v>
      </c>
      <c r="G71" s="41">
        <v>350</v>
      </c>
      <c r="H71" s="55">
        <f>'Intermediate CTC'!D70+'Intermediate CTC'!D71*CTC!$G71</f>
        <v>407.71661693994849</v>
      </c>
      <c r="I71" s="35">
        <f>'Intermediate CTC'!E70+'Intermediate CTC'!E71*CTC!$G71</f>
        <v>278.04393390600222</v>
      </c>
      <c r="J71" s="35">
        <f>'Intermediate CTC'!F70+'Intermediate CTC'!F71*CTC!$G71</f>
        <v>532.21109084260615</v>
      </c>
      <c r="L71" s="35">
        <f>'Intermediate CTC'!H70+'Intermediate CTC'!H71*CTC!$G71</f>
        <v>389.66564551422317</v>
      </c>
      <c r="M71" s="35">
        <f>'Intermediate CTC'!I70+'Intermediate CTC'!I71*CTC!$G71</f>
        <v>92.69993691623381</v>
      </c>
      <c r="N71" s="35">
        <f>'Intermediate CTC'!J70+'Intermediate CTC'!J71*CTC!$G71</f>
        <v>708.98948560982046</v>
      </c>
      <c r="P71" s="35">
        <f>'Intermediate CTC'!L70+'Intermediate CTC'!L71*CTC!$G71</f>
        <v>372.68793103448229</v>
      </c>
      <c r="Q71" s="35">
        <f>'Intermediate CTC'!M70+'Intermediate CTC'!M71*CTC!$G71</f>
        <v>236.92886908497732</v>
      </c>
      <c r="R71" s="35">
        <f>'Intermediate CTC'!N70+'Intermediate CTC'!N71*CTC!$G71</f>
        <v>488.54183506966029</v>
      </c>
    </row>
    <row r="72" spans="1:18" x14ac:dyDescent="0.3">
      <c r="A72" s="5" t="s">
        <v>22</v>
      </c>
      <c r="B72" s="6" t="s">
        <v>4</v>
      </c>
      <c r="C72" s="18" t="str">
        <f>'Intermediate CTC'!C72</f>
        <v>0.23 (-0.04, 0.33)</v>
      </c>
      <c r="D72" s="50" t="str">
        <f>'Intermediate CTC'!G72</f>
        <v>0.26 (-0.16, 0.39)</v>
      </c>
      <c r="E72" s="97" t="str">
        <f>'Intermediate CTC'!K72</f>
        <v>0.36 (0.09, 0.48)</v>
      </c>
      <c r="G72" s="41">
        <v>0.32</v>
      </c>
      <c r="H72" s="56">
        <f>'Intermediate CTC'!D72+'Intermediate CTC'!D73*CTC!$G72</f>
        <v>0.55563391139921381</v>
      </c>
      <c r="I72" s="57">
        <f>'Intermediate CTC'!E72+'Intermediate CTC'!E73*CTC!$G72</f>
        <v>0.22354891409300834</v>
      </c>
      <c r="J72" s="57">
        <f>'Intermediate CTC'!F72+'Intermediate CTC'!F73*CTC!$G72</f>
        <v>0.81478467188146098</v>
      </c>
      <c r="L72" s="57">
        <f>'Intermediate CTC'!H72+'Intermediate CTC'!H73*CTC!$G72</f>
        <v>0.58134285714285672</v>
      </c>
      <c r="M72" s="57">
        <f>'Intermediate CTC'!I72+'Intermediate CTC'!I73*CTC!$G72</f>
        <v>7.6666666666666994E-2</v>
      </c>
      <c r="N72" s="57">
        <f>'Intermediate CTC'!J72+'Intermediate CTC'!J73*CTC!$G72</f>
        <v>0.97516666666666563</v>
      </c>
      <c r="P72" s="57">
        <f>'Intermediate CTC'!L72+'Intermediate CTC'!L73*CTC!$G72</f>
        <v>0.63852116070216702</v>
      </c>
      <c r="Q72" s="57">
        <f>'Intermediate CTC'!M72+'Intermediate CTC'!M73*CTC!$G72</f>
        <v>0.28865171933828493</v>
      </c>
      <c r="R72" s="57">
        <f>'Intermediate CTC'!N72+'Intermediate CTC'!N73*CTC!$G72</f>
        <v>0.92704947843586205</v>
      </c>
    </row>
    <row r="73" spans="1:18" x14ac:dyDescent="0.3">
      <c r="A73" s="5"/>
      <c r="B73" s="6" t="s">
        <v>5</v>
      </c>
      <c r="C73" s="18" t="str">
        <f>'Intermediate CTC'!C73</f>
        <v>1.03 (0.82, 1.52)</v>
      </c>
      <c r="D73" s="50" t="str">
        <f>'Intermediate CTC'!G73</f>
        <v>0.99 (0.75, 1.83)</v>
      </c>
      <c r="E73" s="97" t="str">
        <f>'Intermediate CTC'!K73</f>
        <v>0.88 (0.63, 1.39)</v>
      </c>
      <c r="G73" s="41">
        <v>0.9</v>
      </c>
      <c r="H73" s="56">
        <f>'Intermediate CTC'!D72+'Intermediate CTC'!D73*CTC!$G73</f>
        <v>1.150711559581916</v>
      </c>
      <c r="I73" s="57">
        <f>'Intermediate CTC'!E72+'Intermediate CTC'!E73*CTC!$G73</f>
        <v>0.69652816567997566</v>
      </c>
      <c r="J73" s="57">
        <f>'Intermediate CTC'!F72+'Intermediate CTC'!F73*CTC!$G73</f>
        <v>1.6953081685455671</v>
      </c>
      <c r="L73" s="57">
        <f>'Intermediate CTC'!H72+'Intermediate CTC'!H73*CTC!$G73</f>
        <v>1.1571999999999996</v>
      </c>
      <c r="M73" s="57">
        <f>'Intermediate CTC'!I72+'Intermediate CTC'!I73*CTC!$G73</f>
        <v>0.51166666666666705</v>
      </c>
      <c r="N73" s="57">
        <f>'Intermediate CTC'!J72+'Intermediate CTC'!J73*CTC!$G73</f>
        <v>2.0384999999999969</v>
      </c>
      <c r="P73" s="57">
        <f>'Intermediate CTC'!L72+'Intermediate CTC'!L73*CTC!$G73</f>
        <v>1.1495423570821808</v>
      </c>
      <c r="Q73" s="57">
        <f>'Intermediate CTC'!M72+'Intermediate CTC'!M73*CTC!$G73</f>
        <v>0.65211538095596899</v>
      </c>
      <c r="R73" s="57">
        <f>'Intermediate CTC'!N72+'Intermediate CTC'!N73*CTC!$G73</f>
        <v>1.733020051884929</v>
      </c>
    </row>
    <row r="74" spans="1:18" x14ac:dyDescent="0.3">
      <c r="A74" s="5" t="s">
        <v>21</v>
      </c>
      <c r="B74" s="6" t="s">
        <v>4</v>
      </c>
      <c r="C74" s="18" t="str">
        <f>'Intermediate CTC'!C74</f>
        <v>0.15 (-0.04, 0.24)</v>
      </c>
      <c r="D74" s="50" t="str">
        <f>'Intermediate CTC'!G74</f>
        <v>0.28 (0.06, 0.45)</v>
      </c>
      <c r="E74" s="97" t="str">
        <f>'Intermediate CTC'!K74</f>
        <v>0.29 (0.06, 0.40)</v>
      </c>
      <c r="G74" s="59">
        <v>0.5</v>
      </c>
      <c r="H74" s="56">
        <f>'Intermediate CTC'!D74+'Intermediate CTC'!D75*CTC!$G74</f>
        <v>0.59842403670507505</v>
      </c>
      <c r="I74" s="57">
        <f>'Intermediate CTC'!E74+'Intermediate CTC'!E75*CTC!$G74</f>
        <v>0.3363724608977478</v>
      </c>
      <c r="J74" s="57">
        <f>'Intermediate CTC'!F74+'Intermediate CTC'!F75*CTC!$G74</f>
        <v>0.81873408748710497</v>
      </c>
      <c r="L74" s="57">
        <f>'Intermediate CTC'!H74+'Intermediate CTC'!H75*CTC!$G74</f>
        <v>0.67482165605095501</v>
      </c>
      <c r="M74" s="57">
        <f>'Intermediate CTC'!I74+'Intermediate CTC'!I75*CTC!$G74</f>
        <v>0.3342603320381502</v>
      </c>
      <c r="N74" s="57">
        <f>'Intermediate CTC'!J74+'Intermediate CTC'!J75*CTC!$G74</f>
        <v>0.99838996820911508</v>
      </c>
      <c r="P74" s="57">
        <f>'Intermediate CTC'!L74+'Intermediate CTC'!L75*CTC!$G74</f>
        <v>0.67178918918918895</v>
      </c>
      <c r="Q74" s="57">
        <f>'Intermediate CTC'!M74+'Intermediate CTC'!M75*CTC!$G74</f>
        <v>0.36874585418506522</v>
      </c>
      <c r="R74" s="57">
        <f>'Intermediate CTC'!N74+'Intermediate CTC'!N75*CTC!$G74</f>
        <v>0.92679285644196097</v>
      </c>
    </row>
    <row r="75" spans="1:18" ht="15" thickBot="1" x14ac:dyDescent="0.35">
      <c r="A75" s="9"/>
      <c r="B75" s="10" t="s">
        <v>5</v>
      </c>
      <c r="C75" s="19" t="str">
        <f>'Intermediate CTC'!C75</f>
        <v>0.89 (0.76, 1.15)</v>
      </c>
      <c r="D75" s="51" t="str">
        <f>'Intermediate CTC'!G75</f>
        <v>0.80 (0.56, 1.11)</v>
      </c>
      <c r="E75" s="98" t="str">
        <f>'Intermediate CTC'!K75</f>
        <v>0.76 (0.61, 1.06)</v>
      </c>
      <c r="G75" s="41">
        <v>0.99</v>
      </c>
      <c r="H75" s="56">
        <f>'Intermediate CTC'!D74+'Intermediate CTC'!D75*CTC!$G75</f>
        <v>1.0364499962875759</v>
      </c>
      <c r="I75" s="57">
        <f>'Intermediate CTC'!E74+'Intermediate CTC'!E75*CTC!$G75</f>
        <v>0.70861284631853338</v>
      </c>
      <c r="J75" s="57">
        <f>'Intermediate CTC'!F74+'Intermediate CTC'!F75*CTC!$G75</f>
        <v>1.3835490534512846</v>
      </c>
      <c r="L75" s="57">
        <f>'Intermediate CTC'!H74+'Intermediate CTC'!H75*CTC!$G75</f>
        <v>1.0649490445859864</v>
      </c>
      <c r="M75" s="57">
        <f>'Intermediate CTC'!I74+'Intermediate CTC'!I75*CTC!$G75</f>
        <v>0.60721335217237848</v>
      </c>
      <c r="N75" s="57">
        <f>'Intermediate CTC'!J74+'Intermediate CTC'!J75*CTC!$G75</f>
        <v>1.5399689155775376</v>
      </c>
      <c r="P75" s="57">
        <f>'Intermediate CTC'!L74+'Intermediate CTC'!L75*CTC!$G75</f>
        <v>1.0452486486486485</v>
      </c>
      <c r="Q75" s="57">
        <f>'Intermediate CTC'!M74+'Intermediate CTC'!M75*CTC!$G75</f>
        <v>0.66882337356491028</v>
      </c>
      <c r="R75" s="57">
        <f>'Intermediate CTC'!N74+'Intermediate CTC'!N75*CTC!$G75</f>
        <v>1.447805514669811</v>
      </c>
    </row>
    <row r="78" spans="1:18" s="93" customFormat="1" x14ac:dyDescent="0.3">
      <c r="A78" s="216"/>
      <c r="C78" s="217"/>
    </row>
    <row r="79" spans="1:18" s="93" customFormat="1" x14ac:dyDescent="0.3"/>
    <row r="80" spans="1:18" s="93" customFormat="1" x14ac:dyDescent="0.3">
      <c r="B80" s="153"/>
      <c r="C80" s="153"/>
      <c r="D80" s="153"/>
      <c r="E80" s="153"/>
    </row>
    <row r="81" spans="1:5" s="93" customFormat="1" x14ac:dyDescent="0.3">
      <c r="A81" s="218"/>
      <c r="B81" s="53"/>
      <c r="C81" s="12"/>
      <c r="D81" s="219"/>
      <c r="E81" s="219"/>
    </row>
    <row r="82" spans="1:5" s="93" customFormat="1" x14ac:dyDescent="0.3">
      <c r="A82" s="218"/>
      <c r="B82" s="53"/>
      <c r="C82" s="12"/>
      <c r="D82" s="53"/>
      <c r="E82" s="53"/>
    </row>
    <row r="83" spans="1:5" s="93" customFormat="1" x14ac:dyDescent="0.3">
      <c r="C83" s="217"/>
    </row>
    <row r="84" spans="1:5" s="93" customFormat="1" x14ac:dyDescent="0.3">
      <c r="C84" s="217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C6D31-8024-4288-9403-17CCCE2781B5}">
  <dimension ref="A1:P75"/>
  <sheetViews>
    <sheetView zoomScale="70" zoomScaleNormal="70" workbookViewId="0">
      <selection activeCell="J75" sqref="J75"/>
    </sheetView>
  </sheetViews>
  <sheetFormatPr defaultRowHeight="14.4" x14ac:dyDescent="0.3"/>
  <cols>
    <col min="1" max="1" width="21.88671875" customWidth="1"/>
    <col min="2" max="2" width="17" customWidth="1"/>
    <col min="3" max="3" width="25.5546875" customWidth="1"/>
    <col min="4" max="4" width="13.88671875" customWidth="1"/>
    <col min="5" max="5" width="13.44140625" customWidth="1"/>
    <col min="6" max="6" width="14.5546875" customWidth="1"/>
    <col min="7" max="7" width="23.77734375" customWidth="1"/>
    <col min="8" max="8" width="11.88671875" customWidth="1"/>
    <col min="9" max="9" width="13.44140625" customWidth="1"/>
    <col min="10" max="10" width="11.6640625" customWidth="1"/>
    <col min="11" max="11" width="23.21875" customWidth="1"/>
    <col min="12" max="12" width="12.88671875" customWidth="1"/>
    <col min="13" max="13" width="14.44140625" customWidth="1"/>
    <col min="14" max="14" width="12" customWidth="1"/>
  </cols>
  <sheetData>
    <row r="1" spans="1:16" ht="78.599999999999994" thickBot="1" x14ac:dyDescent="0.35">
      <c r="A1" t="s">
        <v>1</v>
      </c>
      <c r="B1" s="195" t="s">
        <v>36</v>
      </c>
      <c r="C1" s="21" t="s">
        <v>29</v>
      </c>
      <c r="D1" s="21" t="s">
        <v>62</v>
      </c>
      <c r="E1" s="21" t="s">
        <v>63</v>
      </c>
      <c r="F1" s="21" t="s">
        <v>64</v>
      </c>
      <c r="G1" s="63" t="s">
        <v>30</v>
      </c>
      <c r="H1" s="63" t="s">
        <v>61</v>
      </c>
      <c r="I1" s="63" t="s">
        <v>59</v>
      </c>
      <c r="J1" s="63" t="s">
        <v>60</v>
      </c>
      <c r="K1" s="49" t="s">
        <v>31</v>
      </c>
      <c r="L1" s="49" t="s">
        <v>61</v>
      </c>
      <c r="M1" s="49" t="s">
        <v>59</v>
      </c>
      <c r="N1" s="49" t="s">
        <v>60</v>
      </c>
    </row>
    <row r="2" spans="1:16" x14ac:dyDescent="0.3">
      <c r="A2" s="3" t="s">
        <v>142</v>
      </c>
      <c r="B2" s="6" t="s">
        <v>4</v>
      </c>
      <c r="C2" s="154" t="str">
        <f>TEXT(D2,"0.00")&amp;" ("&amp;TEXT(E2,"0.00")&amp;", "&amp;TEXT(F2,"0.00")&amp;")"</f>
        <v>-71.98 (-148.89, -16.70)</v>
      </c>
      <c r="D2" s="154">
        <v>-71.978582762564699</v>
      </c>
      <c r="E2" s="154">
        <v>-148.89416902679901</v>
      </c>
      <c r="F2" s="154">
        <v>-16.7036484862465</v>
      </c>
      <c r="G2" s="170" t="str">
        <f>TEXT(H2,"0.00")&amp;" ("&amp;TEXT(I2,"0.00")&amp;", "&amp;TEXT(J2,"0.00")&amp;")"</f>
        <v>-160.31 (-232.08, -99.04)</v>
      </c>
      <c r="H2" s="154">
        <v>-160.30731707317099</v>
      </c>
      <c r="I2" s="154">
        <v>-232.082987551868</v>
      </c>
      <c r="J2" s="154">
        <v>-99.040997229917593</v>
      </c>
      <c r="K2" s="170" t="str">
        <f>TEXT(L2,"0.00")&amp;" ("&amp;TEXT(M2,"0.00")&amp;", "&amp;TEXT(N2,"0.00")&amp;")"</f>
        <v>-60.70 (-129.85, -12.04)</v>
      </c>
      <c r="L2" s="154">
        <v>-60.702467343976899</v>
      </c>
      <c r="M2" s="154">
        <v>-129.85477178423301</v>
      </c>
      <c r="N2" s="155">
        <v>-12.041841004183899</v>
      </c>
    </row>
    <row r="3" spans="1:16" x14ac:dyDescent="0.3">
      <c r="A3" s="5"/>
      <c r="B3" s="6" t="s">
        <v>5</v>
      </c>
      <c r="C3" s="156" t="str">
        <f t="shared" ref="C3:C25" si="0">TEXT(D3,"0.00")&amp;" ("&amp;TEXT(E3,"0.00")&amp;", "&amp;TEXT(F3,"0.00")&amp;")"</f>
        <v>1.05 (1.04, 1.08)</v>
      </c>
      <c r="D3" s="156">
        <v>1.05439967749218</v>
      </c>
      <c r="E3" s="156">
        <v>1.0384818420038</v>
      </c>
      <c r="F3" s="156">
        <v>1.0774613127792501</v>
      </c>
      <c r="G3" s="171" t="str">
        <f t="shared" ref="G3:G25" si="1">TEXT(H3,"0.00")&amp;" ("&amp;TEXT(I3,"0.00")&amp;", "&amp;TEXT(J3,"0.00")&amp;")"</f>
        <v>1.09 (1.07, 1.11)</v>
      </c>
      <c r="H3" s="156">
        <v>1.0878048780487799</v>
      </c>
      <c r="I3" s="156">
        <v>1.06980609418283</v>
      </c>
      <c r="J3" s="156">
        <v>1.1065006915629301</v>
      </c>
      <c r="K3" s="171" t="str">
        <f t="shared" ref="K3:K25" si="2">TEXT(L3,"0.00")&amp;" ("&amp;TEXT(M3,"0.00")&amp;", "&amp;TEXT(N3,"0.00")&amp;")"</f>
        <v>1.04 (1.03, 1.06)</v>
      </c>
      <c r="L3" s="156">
        <v>1.04208998548621</v>
      </c>
      <c r="M3" s="156">
        <v>1.02928870292887</v>
      </c>
      <c r="N3" s="157">
        <v>1.0636237897648699</v>
      </c>
    </row>
    <row r="4" spans="1:16" x14ac:dyDescent="0.3">
      <c r="A4" s="5" t="s">
        <v>104</v>
      </c>
      <c r="B4" s="6" t="s">
        <v>4</v>
      </c>
      <c r="C4" s="191" t="str">
        <f>TEXT(D4,"0.00")&amp;" ("&amp;TEXT(E4,"0.00")&amp;", "&amp;TEXT(F4,"0.00")&amp;")"</f>
        <v>-47.64 (-64.32, -36.45)</v>
      </c>
      <c r="D4" s="41">
        <v>-47.639284983441001</v>
      </c>
      <c r="E4" s="41">
        <v>-64.324546083068</v>
      </c>
      <c r="F4" s="41">
        <v>-36.448848445282898</v>
      </c>
      <c r="G4" s="50" t="str">
        <f>TEXT(H4,"0.00")&amp;" ("&amp;TEXT(I4,"0.00")&amp;", "&amp;TEXT(J4,"0.00")&amp;")"</f>
        <v>0.81 (-20.53, 11.54)</v>
      </c>
      <c r="H4" s="18">
        <v>0.80726256983234601</v>
      </c>
      <c r="I4" s="18">
        <v>-20.5287958115183</v>
      </c>
      <c r="J4" s="18">
        <v>11.5432098765432</v>
      </c>
      <c r="K4" s="7" t="str">
        <f>TEXT(L4,"0.00")&amp;" ("&amp;TEXT(M4,"0.00")&amp;", "&amp;TEXT(N4,"0.00")&amp;")"</f>
        <v>-45.72 (-78.00, -27.12)</v>
      </c>
      <c r="L4" s="53">
        <v>-45.722772277227698</v>
      </c>
      <c r="M4" s="6">
        <v>-77.999999999999901</v>
      </c>
      <c r="N4" s="27">
        <v>-27.118959107806699</v>
      </c>
      <c r="P4" s="6"/>
    </row>
    <row r="5" spans="1:16" x14ac:dyDescent="0.3">
      <c r="A5" s="5"/>
      <c r="B5" s="6" t="s">
        <v>5</v>
      </c>
      <c r="C5" s="20" t="str">
        <f t="shared" si="0"/>
        <v>0.99 (0.98, 1.01)</v>
      </c>
      <c r="D5" s="91">
        <v>0.99005241541537103</v>
      </c>
      <c r="E5" s="91">
        <v>0.97686926583760203</v>
      </c>
      <c r="F5" s="91">
        <v>1.01103831023671</v>
      </c>
      <c r="G5" s="94" t="str">
        <f t="shared" si="1"/>
        <v>0.90 (0.88, 0.92)</v>
      </c>
      <c r="H5" s="23">
        <v>0.89664804469273796</v>
      </c>
      <c r="I5" s="22">
        <v>0.88065843621399198</v>
      </c>
      <c r="J5" s="23">
        <v>0.92146596858638696</v>
      </c>
      <c r="K5" s="7" t="str">
        <f t="shared" si="2"/>
        <v>0.96 (0.94, 1.00)</v>
      </c>
      <c r="L5" s="53">
        <v>0.96039603960396003</v>
      </c>
      <c r="M5" s="6">
        <v>0.93680297397769496</v>
      </c>
      <c r="N5" s="27">
        <v>1</v>
      </c>
      <c r="P5" s="6"/>
    </row>
    <row r="6" spans="1:16" x14ac:dyDescent="0.3">
      <c r="A6" s="5" t="s">
        <v>11</v>
      </c>
      <c r="B6" s="6" t="s">
        <v>4</v>
      </c>
      <c r="C6" s="20" t="str">
        <f t="shared" si="0"/>
        <v>148.56 (110.13, 208.50)</v>
      </c>
      <c r="D6" s="91">
        <v>148.562559382861</v>
      </c>
      <c r="E6" s="91">
        <v>110.127131450421</v>
      </c>
      <c r="F6" s="91">
        <v>208.49649844681201</v>
      </c>
      <c r="G6" s="94" t="str">
        <f t="shared" si="1"/>
        <v>244.42 (212.54, 283.05)</v>
      </c>
      <c r="H6" s="23">
        <v>244.418502202643</v>
      </c>
      <c r="I6" s="23">
        <v>212.54098360655701</v>
      </c>
      <c r="J6" s="23">
        <v>283.04733727810702</v>
      </c>
      <c r="K6" s="7" t="str">
        <f t="shared" si="2"/>
        <v>-73.32 (-124.80, 4.82)</v>
      </c>
      <c r="L6" s="53">
        <v>-73.317073170731504</v>
      </c>
      <c r="M6" s="6">
        <v>-124.8</v>
      </c>
      <c r="N6" s="27">
        <v>4.8222222222220799</v>
      </c>
      <c r="P6" s="6"/>
    </row>
    <row r="7" spans="1:16" x14ac:dyDescent="0.3">
      <c r="A7" s="5"/>
      <c r="B7" s="6" t="s">
        <v>5</v>
      </c>
      <c r="C7" s="18" t="str">
        <f t="shared" si="0"/>
        <v>0.81 (0.76, 0.85)</v>
      </c>
      <c r="D7" s="18">
        <v>0.81237050628984997</v>
      </c>
      <c r="E7" s="18">
        <v>0.76405532142497201</v>
      </c>
      <c r="F7" s="18">
        <v>0.85025730883233397</v>
      </c>
      <c r="G7" s="94" t="str">
        <f t="shared" si="1"/>
        <v>0.63 (0.59, 0.66)</v>
      </c>
      <c r="H7" s="23">
        <v>0.62555066079295196</v>
      </c>
      <c r="I7" s="23">
        <v>0.59171597633136097</v>
      </c>
      <c r="J7" s="23">
        <v>0.65573770491803296</v>
      </c>
      <c r="K7" s="7" t="str">
        <f t="shared" si="2"/>
        <v>0.95 (0.88, 0.99)</v>
      </c>
      <c r="L7" s="53">
        <v>0.94634146341463399</v>
      </c>
      <c r="M7" s="6">
        <v>0.87777777777777799</v>
      </c>
      <c r="N7" s="27">
        <v>0.99310344827586206</v>
      </c>
      <c r="P7" s="6"/>
    </row>
    <row r="8" spans="1:16" x14ac:dyDescent="0.3">
      <c r="A8" s="5" t="s">
        <v>13</v>
      </c>
      <c r="B8" s="6" t="s">
        <v>4</v>
      </c>
      <c r="C8" s="18" t="str">
        <f t="shared" si="0"/>
        <v>2.58 (-0.18, 4.80)</v>
      </c>
      <c r="D8" s="18">
        <v>2.5831404883475799</v>
      </c>
      <c r="E8" s="18">
        <v>-0.17785167583814901</v>
      </c>
      <c r="F8" s="18">
        <v>4.7989301128589696</v>
      </c>
      <c r="G8" s="94" t="str">
        <f>"*"&amp;TEXT(H8,"0.00")&amp;" ("&amp;TEXT(I8,"0.00")&amp;", "&amp;TEXT(J8,"0.00")&amp;")"</f>
        <v>*3.69 (0.00, 0.00)</v>
      </c>
      <c r="H8" s="23">
        <v>3.68583051016769</v>
      </c>
      <c r="I8" s="25"/>
      <c r="J8" s="25"/>
      <c r="K8" s="7" t="str">
        <f>"*"&amp;TEXT(L8,"0.00")&amp;" ("&amp;TEXT(M8,"0.00")&amp;", "&amp;TEXT(N8,"0.00")&amp;")"</f>
        <v>*4.78 (0.00, 0.00)</v>
      </c>
      <c r="L8" s="53">
        <v>4.7836334003686298</v>
      </c>
      <c r="M8" s="25"/>
      <c r="N8" s="48"/>
      <c r="P8" s="6"/>
    </row>
    <row r="9" spans="1:16" x14ac:dyDescent="0.3">
      <c r="A9" s="5"/>
      <c r="B9" s="6" t="s">
        <v>5</v>
      </c>
      <c r="C9" s="18" t="str">
        <f t="shared" si="0"/>
        <v>1.25 (0.95, 1.52)</v>
      </c>
      <c r="D9" s="18">
        <v>1.2457113963631401</v>
      </c>
      <c r="E9" s="18">
        <v>0.95251832950598503</v>
      </c>
      <c r="F9" s="18">
        <v>1.52285497436659</v>
      </c>
      <c r="G9" s="94" t="str">
        <f>"*"&amp;TEXT(H9,"0.00")&amp;" ("&amp;TEXT(I9,"0.00")&amp;", "&amp;TEXT(J9,"0.00")&amp;")"</f>
        <v>*1.05 (0.86, 1.29)</v>
      </c>
      <c r="H9" s="23">
        <v>1.0520352119960099</v>
      </c>
      <c r="I9" s="23">
        <v>0.86023165884364305</v>
      </c>
      <c r="J9" s="23">
        <v>1.2866046906100299</v>
      </c>
      <c r="K9" s="7" t="str">
        <f>"*"&amp;TEXT(L9,"0.00")&amp;" ("&amp;TEXT(M9,"0.00")&amp;", "&amp;TEXT(N9,"0.00")&amp;")"</f>
        <v>*1.43 (1.06, 1.93)</v>
      </c>
      <c r="L9" s="53">
        <v>1.4282596821276801</v>
      </c>
      <c r="M9" s="6">
        <v>1.0575734189329999</v>
      </c>
      <c r="N9" s="27">
        <v>1.92887385695601</v>
      </c>
      <c r="P9" s="6"/>
    </row>
    <row r="10" spans="1:16" x14ac:dyDescent="0.3">
      <c r="A10" s="5" t="s">
        <v>14</v>
      </c>
      <c r="B10" s="6" t="s">
        <v>4</v>
      </c>
      <c r="C10" s="18" t="str">
        <f t="shared" si="0"/>
        <v>65.36 (24.14, 147.70)</v>
      </c>
      <c r="D10" s="18">
        <v>65.363375245982098</v>
      </c>
      <c r="E10" s="18">
        <v>24.141367092864598</v>
      </c>
      <c r="F10" s="18">
        <v>147.69793341322301</v>
      </c>
      <c r="G10" s="94" t="str">
        <f t="shared" si="1"/>
        <v>206.84 (158.50, 258.46)</v>
      </c>
      <c r="H10" s="23">
        <v>206.84474885844699</v>
      </c>
      <c r="I10" s="23">
        <v>158.50375939849599</v>
      </c>
      <c r="J10" s="23">
        <v>258.455743879473</v>
      </c>
      <c r="K10" s="7" t="str">
        <f t="shared" si="2"/>
        <v>-108.41 (-206.23, -38.96)</v>
      </c>
      <c r="L10" s="53">
        <v>-108.406332453826</v>
      </c>
      <c r="M10" s="6">
        <v>-206.23229461756401</v>
      </c>
      <c r="N10" s="27">
        <v>-38.955645161290299</v>
      </c>
      <c r="P10" s="6"/>
    </row>
    <row r="11" spans="1:16" x14ac:dyDescent="0.3">
      <c r="A11" s="5"/>
      <c r="B11" s="6" t="s">
        <v>5</v>
      </c>
      <c r="C11" s="18" t="str">
        <f t="shared" si="0"/>
        <v>0.91 (0.87, 0.93)</v>
      </c>
      <c r="D11" s="18">
        <v>0.90702722012282999</v>
      </c>
      <c r="E11" s="18">
        <v>0.86616540896312499</v>
      </c>
      <c r="F11" s="18">
        <v>0.92892836206066598</v>
      </c>
      <c r="G11" s="94" t="str">
        <f t="shared" si="1"/>
        <v>0.76 (0.73, 0.78)</v>
      </c>
      <c r="H11" s="23">
        <v>0.75799086757990897</v>
      </c>
      <c r="I11" s="23">
        <v>0.73258003766478297</v>
      </c>
      <c r="J11" s="23">
        <v>0.783834586466165</v>
      </c>
      <c r="K11" s="7" t="str">
        <f t="shared" si="2"/>
        <v>0.95 (0.92, 1.00)</v>
      </c>
      <c r="L11" s="53">
        <v>0.94986807387862804</v>
      </c>
      <c r="M11" s="6">
        <v>0.91532258064516103</v>
      </c>
      <c r="N11" s="27">
        <v>1.0028328611898001</v>
      </c>
      <c r="P11" s="6"/>
    </row>
    <row r="12" spans="1:16" x14ac:dyDescent="0.3">
      <c r="A12" s="5" t="s">
        <v>15</v>
      </c>
      <c r="B12" s="6" t="s">
        <v>4</v>
      </c>
      <c r="C12" s="18" t="str">
        <f t="shared" si="0"/>
        <v>-0.69 (-2.22, 0.07)</v>
      </c>
      <c r="D12" s="18">
        <v>-0.69434535072956505</v>
      </c>
      <c r="E12" s="18">
        <v>-2.2236629586657899</v>
      </c>
      <c r="F12" s="18">
        <v>7.1799858959556304E-2</v>
      </c>
      <c r="G12" s="94" t="str">
        <f>"*"&amp;TEXT(H12,"0.00")&amp;" ("&amp;TEXT(I12,"0.00")&amp;", "&amp;TEXT(J12,"0.00")&amp;")"</f>
        <v>*0.76 (0.00, 0.00)</v>
      </c>
      <c r="H12" s="23">
        <v>0.75827735646073302</v>
      </c>
      <c r="I12" s="26"/>
      <c r="J12" s="25"/>
      <c r="K12" s="94" t="str">
        <f>"*"&amp;TEXT(L12,"0.00")&amp;" ("&amp;TEXT(M12,"0.00")&amp;", "&amp;TEXT(N12,"0.00")&amp;")"</f>
        <v>*-0.11 (0.00, 0.00)</v>
      </c>
      <c r="L12" s="53">
        <v>-0.10542597588925399</v>
      </c>
      <c r="M12" s="47"/>
      <c r="N12" s="48"/>
      <c r="P12" s="6"/>
    </row>
    <row r="13" spans="1:16" x14ac:dyDescent="0.3">
      <c r="A13" s="5"/>
      <c r="B13" s="6" t="s">
        <v>5</v>
      </c>
      <c r="C13" s="18" t="str">
        <f t="shared" si="0"/>
        <v>0.99 (0.93, 1.12)</v>
      </c>
      <c r="D13" s="18">
        <v>0.988782936165714</v>
      </c>
      <c r="E13" s="18">
        <v>0.92706478557497995</v>
      </c>
      <c r="F13" s="18">
        <v>1.1162260701604001</v>
      </c>
      <c r="G13" s="94" t="str">
        <f>"*"&amp;TEXT(H13,"0.00")&amp;" ("&amp;TEXT(I13,"0.00")&amp;", "&amp;TEXT(J13,"0.00")&amp;")"</f>
        <v>*0.87 (0.68, 1.12)</v>
      </c>
      <c r="H13" s="23">
        <v>0.86991767240168005</v>
      </c>
      <c r="I13" s="23">
        <v>0.67567747660358601</v>
      </c>
      <c r="J13" s="23">
        <v>1.1199970147898499</v>
      </c>
      <c r="K13" s="94" t="str">
        <f>"*"&amp;TEXT(L13,"0.00")&amp;" ("&amp;TEXT(M13,"0.00")&amp;", "&amp;TEXT(N13,"0.00")&amp;")"</f>
        <v>*0.89 (0.68, 1.18)</v>
      </c>
      <c r="L13" s="53">
        <v>0.89291505603685395</v>
      </c>
      <c r="M13" s="6">
        <v>0.67712663735785505</v>
      </c>
      <c r="N13" s="27">
        <v>1.17747147034172</v>
      </c>
      <c r="P13" s="6"/>
    </row>
    <row r="14" spans="1:16" x14ac:dyDescent="0.3">
      <c r="A14" s="5" t="s">
        <v>16</v>
      </c>
      <c r="B14" s="6" t="s">
        <v>4</v>
      </c>
      <c r="C14" s="18" t="str">
        <f>TEXT(D14,"0.00")&amp;" ("&amp;TEXT(E14,"0.00")&amp;", "&amp;TEXT(F14,"0.00")&amp;")"</f>
        <v>3.38 (0.44, 6.06)</v>
      </c>
      <c r="D14" s="18">
        <v>3.37716748775909</v>
      </c>
      <c r="E14" s="18">
        <v>0.442250191151704</v>
      </c>
      <c r="F14" s="18">
        <v>6.0632428151025097</v>
      </c>
      <c r="G14" s="50" t="str">
        <f t="shared" si="1"/>
        <v>1.56 (-1.61, 3.89)</v>
      </c>
      <c r="H14" s="18">
        <v>1.55714285714287</v>
      </c>
      <c r="I14" s="18">
        <v>-1.61190476190475</v>
      </c>
      <c r="J14" s="18">
        <v>3.88510638297873</v>
      </c>
      <c r="K14" s="7" t="str">
        <f t="shared" si="2"/>
        <v>17.17 (12.15, 24.60)</v>
      </c>
      <c r="L14" s="53">
        <v>17.1680412371134</v>
      </c>
      <c r="M14" s="6">
        <v>12.154545454545501</v>
      </c>
      <c r="N14" s="27">
        <v>24.6</v>
      </c>
      <c r="P14" s="6"/>
    </row>
    <row r="15" spans="1:16" x14ac:dyDescent="0.3">
      <c r="A15" s="5"/>
      <c r="B15" s="6" t="s">
        <v>5</v>
      </c>
      <c r="C15" s="18" t="str">
        <f>TEXT(D15,"0.00")&amp;" ("&amp;TEXT(E15,"0.00")&amp;", "&amp;TEXT(F15,"0.00")&amp;")"</f>
        <v>0.94 (0.79, 1.10)</v>
      </c>
      <c r="D15" s="18">
        <v>0.93584899597320803</v>
      </c>
      <c r="E15" s="18">
        <v>0.78598234224402397</v>
      </c>
      <c r="F15" s="18">
        <v>1.1038552782490001</v>
      </c>
      <c r="G15" s="94" t="str">
        <f t="shared" si="1"/>
        <v>0.79 (0.64, 0.98)</v>
      </c>
      <c r="H15" s="23">
        <v>0.78571428571428503</v>
      </c>
      <c r="I15" s="23">
        <v>0.63829787234042501</v>
      </c>
      <c r="J15" s="23">
        <v>0.97619047619047605</v>
      </c>
      <c r="K15" s="7" t="str">
        <f t="shared" si="2"/>
        <v>0.96 (0.50, 1.27)</v>
      </c>
      <c r="L15" s="53">
        <v>0.95876288659793796</v>
      </c>
      <c r="M15" s="6">
        <v>0.499999999999999</v>
      </c>
      <c r="N15" s="27">
        <v>1.27272727272727</v>
      </c>
      <c r="P15" s="6"/>
    </row>
    <row r="16" spans="1:16" x14ac:dyDescent="0.3">
      <c r="A16" s="5" t="s">
        <v>18</v>
      </c>
      <c r="B16" s="6" t="s">
        <v>4</v>
      </c>
      <c r="C16" s="18" t="str">
        <f t="shared" si="0"/>
        <v>1.44 (-0.13, 2.35)</v>
      </c>
      <c r="D16" s="18">
        <v>1.4362704562663899</v>
      </c>
      <c r="E16" s="18">
        <v>-0.12918464367245799</v>
      </c>
      <c r="F16" s="18">
        <v>2.3490954955501202</v>
      </c>
      <c r="G16" s="50" t="str">
        <f t="shared" si="1"/>
        <v>0.83 (0.05, 1.52)</v>
      </c>
      <c r="H16" s="18">
        <v>0.83333333333333404</v>
      </c>
      <c r="I16" s="18">
        <v>5.4838709677420099E-2</v>
      </c>
      <c r="J16" s="18">
        <v>1.52</v>
      </c>
      <c r="K16" s="7" t="str">
        <f t="shared" si="2"/>
        <v>2.41 (0.08, 4.21)</v>
      </c>
      <c r="L16" s="53">
        <v>2.4137931034482798</v>
      </c>
      <c r="M16" s="6">
        <v>7.89473684210487E-2</v>
      </c>
      <c r="N16" s="27">
        <v>4.21428571428571</v>
      </c>
      <c r="P16" s="6"/>
    </row>
    <row r="17" spans="1:16" x14ac:dyDescent="0.3">
      <c r="A17" s="5"/>
      <c r="B17" s="6" t="s">
        <v>5</v>
      </c>
      <c r="C17" s="18" t="str">
        <f t="shared" si="0"/>
        <v>1.22 (1.01, 1.54)</v>
      </c>
      <c r="D17" s="18">
        <v>1.2156398391298999</v>
      </c>
      <c r="E17" s="18">
        <v>1.0070219242402501</v>
      </c>
      <c r="F17" s="18">
        <v>1.5378346787039801</v>
      </c>
      <c r="G17" s="94" t="str">
        <f t="shared" si="1"/>
        <v>0.83 (0.68, 1.03)</v>
      </c>
      <c r="H17" s="23">
        <v>0.83333333333333304</v>
      </c>
      <c r="I17" s="23">
        <v>0.67500000000000004</v>
      </c>
      <c r="J17" s="23">
        <v>1.0322580645161299</v>
      </c>
      <c r="K17" s="7" t="str">
        <f t="shared" si="2"/>
        <v>1.28 (0.86, 1.79)</v>
      </c>
      <c r="L17" s="53">
        <v>1.27586206896552</v>
      </c>
      <c r="M17" s="6">
        <v>0.85714285714285698</v>
      </c>
      <c r="N17" s="27">
        <v>1.7894736842105301</v>
      </c>
      <c r="P17" s="6"/>
    </row>
    <row r="18" spans="1:16" x14ac:dyDescent="0.3">
      <c r="A18" s="5" t="s">
        <v>19</v>
      </c>
      <c r="B18" s="6" t="s">
        <v>4</v>
      </c>
      <c r="C18" s="18" t="str">
        <f t="shared" si="0"/>
        <v>20.72 (3.06, 30.80)</v>
      </c>
      <c r="D18" s="18">
        <v>20.724780539321301</v>
      </c>
      <c r="E18" s="18">
        <v>3.0598799963610999</v>
      </c>
      <c r="F18" s="18">
        <v>30.803360605807899</v>
      </c>
      <c r="G18" s="50" t="str">
        <f t="shared" si="1"/>
        <v>-14.33 (-33.60, -1.94)</v>
      </c>
      <c r="H18" s="18">
        <v>-14.3284936479129</v>
      </c>
      <c r="I18" s="18">
        <v>-33.598275862069102</v>
      </c>
      <c r="J18" s="18">
        <v>-1.9350157728706801</v>
      </c>
      <c r="K18" s="11" t="str">
        <f t="shared" si="2"/>
        <v>299.54 (187.92, 364.13)</v>
      </c>
      <c r="L18" s="53">
        <v>299.53528872593898</v>
      </c>
      <c r="M18" s="6">
        <v>187.91973094170399</v>
      </c>
      <c r="N18" s="27">
        <v>364.13217726396903</v>
      </c>
      <c r="P18" s="6"/>
    </row>
    <row r="19" spans="1:16" x14ac:dyDescent="0.3">
      <c r="A19" s="5"/>
      <c r="B19" s="6" t="s">
        <v>5</v>
      </c>
      <c r="C19" s="18" t="str">
        <f t="shared" si="0"/>
        <v>0.76 (0.71, 0.82)</v>
      </c>
      <c r="D19" s="18">
        <v>0.75893173089167798</v>
      </c>
      <c r="E19" s="18">
        <v>0.71188096626424202</v>
      </c>
      <c r="F19" s="18">
        <v>0.816267011335429</v>
      </c>
      <c r="G19" s="94" t="str">
        <f t="shared" si="1"/>
        <v>0.74 (0.69, 0.80)</v>
      </c>
      <c r="H19" s="23">
        <v>0.73502722323048997</v>
      </c>
      <c r="I19" s="23">
        <v>0.694006309148265</v>
      </c>
      <c r="J19" s="23">
        <v>0.80268199233716497</v>
      </c>
      <c r="K19" s="7" t="str">
        <f t="shared" si="2"/>
        <v>0.60 (0.33, 1.01)</v>
      </c>
      <c r="L19" s="53">
        <v>0.59853345554537196</v>
      </c>
      <c r="M19" s="6">
        <v>0.32562620423892102</v>
      </c>
      <c r="N19" s="27">
        <v>1.01494768310912</v>
      </c>
      <c r="P19" s="6"/>
    </row>
    <row r="20" spans="1:16" x14ac:dyDescent="0.3">
      <c r="A20" s="5" t="s">
        <v>20</v>
      </c>
      <c r="B20" s="6" t="s">
        <v>4</v>
      </c>
      <c r="C20" s="18" t="str">
        <f t="shared" si="0"/>
        <v>13.88 (-75.09, 51.41)</v>
      </c>
      <c r="D20" s="18">
        <v>13.882504369642801</v>
      </c>
      <c r="E20" s="18">
        <v>-75.091396827429506</v>
      </c>
      <c r="F20" s="18">
        <v>51.414040501302701</v>
      </c>
      <c r="G20" s="94" t="str">
        <f t="shared" si="1"/>
        <v>51.51 (26.29, 69.66)</v>
      </c>
      <c r="H20" s="23">
        <v>51.509090909090503</v>
      </c>
      <c r="I20" s="23">
        <v>26.291604477612101</v>
      </c>
      <c r="J20" s="23">
        <v>69.655223880597205</v>
      </c>
      <c r="K20" s="11" t="str">
        <f t="shared" si="2"/>
        <v>-44.85 (-256.67, 61.20)</v>
      </c>
      <c r="L20" s="53">
        <v>-44.849667405764897</v>
      </c>
      <c r="M20" s="6">
        <v>-256.66839826839799</v>
      </c>
      <c r="N20" s="27">
        <v>61.197829716193702</v>
      </c>
      <c r="P20" s="6"/>
    </row>
    <row r="21" spans="1:16" x14ac:dyDescent="0.3">
      <c r="A21" s="5"/>
      <c r="B21" s="6" t="s">
        <v>5</v>
      </c>
      <c r="C21" s="18" t="str">
        <f t="shared" si="0"/>
        <v>0.95 (0.80, 1.29)</v>
      </c>
      <c r="D21" s="18">
        <v>0.94643244291964301</v>
      </c>
      <c r="E21" s="18">
        <v>0.80395515935568096</v>
      </c>
      <c r="F21" s="18">
        <v>1.28855145337303</v>
      </c>
      <c r="G21" s="94" t="str">
        <f t="shared" si="1"/>
        <v>0.74 (0.67, 0.85)</v>
      </c>
      <c r="H21" s="23">
        <v>0.74242424242424399</v>
      </c>
      <c r="I21" s="23">
        <v>0.66865671641791002</v>
      </c>
      <c r="J21" s="23">
        <v>0.84514925373134298</v>
      </c>
      <c r="K21" s="11" t="str">
        <f t="shared" si="2"/>
        <v>1.01 (0.62, 1.82)</v>
      </c>
      <c r="L21" s="53">
        <v>1.01330376940133</v>
      </c>
      <c r="M21" s="6">
        <v>0.61602671118530905</v>
      </c>
      <c r="N21" s="27">
        <v>1.82251082251082</v>
      </c>
      <c r="P21" s="6"/>
    </row>
    <row r="22" spans="1:16" x14ac:dyDescent="0.3">
      <c r="A22" s="5" t="s">
        <v>22</v>
      </c>
      <c r="B22" s="6" t="s">
        <v>4</v>
      </c>
      <c r="C22" s="18" t="str">
        <f t="shared" si="0"/>
        <v>0.03 (-0.09, 0.13)</v>
      </c>
      <c r="D22" s="18">
        <v>3.2943910407445001E-2</v>
      </c>
      <c r="E22" s="18">
        <v>-8.8893609261497294E-2</v>
      </c>
      <c r="F22" s="18">
        <v>0.12974942529647401</v>
      </c>
      <c r="G22" s="94" t="str">
        <f t="shared" si="1"/>
        <v>0.21 (0.08, 0.32)</v>
      </c>
      <c r="H22" s="23">
        <v>0.205175</v>
      </c>
      <c r="I22" s="23">
        <v>8.3360655737703807E-2</v>
      </c>
      <c r="J22" s="23">
        <v>0.32291111111111098</v>
      </c>
      <c r="K22" s="11" t="str">
        <f t="shared" si="2"/>
        <v>-0.27 (-0.52, 0.09)</v>
      </c>
      <c r="L22" s="53">
        <v>-0.26552517985611501</v>
      </c>
      <c r="M22" s="6">
        <v>-0.51800000000000002</v>
      </c>
      <c r="N22" s="27">
        <v>8.9090909090909096E-2</v>
      </c>
      <c r="P22" s="6"/>
    </row>
    <row r="23" spans="1:16" x14ac:dyDescent="0.3">
      <c r="A23" s="5"/>
      <c r="B23" s="6" t="s">
        <v>5</v>
      </c>
      <c r="C23" s="18" t="str">
        <f t="shared" si="0"/>
        <v>0.92 (0.79, 1.08)</v>
      </c>
      <c r="D23" s="18">
        <v>0.91946916915138199</v>
      </c>
      <c r="E23" s="18">
        <v>0.78998335463006297</v>
      </c>
      <c r="F23" s="18">
        <v>1.0815012341241601</v>
      </c>
      <c r="G23" s="94" t="str">
        <f t="shared" si="1"/>
        <v>0.78 (0.62, 0.93)</v>
      </c>
      <c r="H23" s="23">
        <v>0.77500000000000002</v>
      </c>
      <c r="I23" s="23">
        <v>0.62222222222222301</v>
      </c>
      <c r="J23" s="23">
        <v>0.93442622950819798</v>
      </c>
      <c r="K23" s="11" t="str">
        <f t="shared" si="2"/>
        <v>1.01 (0.55, 1.33)</v>
      </c>
      <c r="L23" s="53">
        <v>1.0071942446043201</v>
      </c>
      <c r="M23" s="6">
        <v>0.54545454545454597</v>
      </c>
      <c r="N23" s="27">
        <v>1.3333333333333299</v>
      </c>
      <c r="P23" s="6"/>
    </row>
    <row r="24" spans="1:16" x14ac:dyDescent="0.3">
      <c r="A24" s="5" t="s">
        <v>21</v>
      </c>
      <c r="B24" s="6" t="s">
        <v>4</v>
      </c>
      <c r="C24" s="18" t="str">
        <f t="shared" si="0"/>
        <v>-0.10 (-0.34, 0.06)</v>
      </c>
      <c r="D24" s="18">
        <v>-9.9691721241202097E-2</v>
      </c>
      <c r="E24" s="18">
        <v>-0.33648742416432698</v>
      </c>
      <c r="F24" s="18">
        <v>5.8710996312003202E-2</v>
      </c>
      <c r="G24" s="94" t="str">
        <f t="shared" si="1"/>
        <v>0.10 (-0.08, 0.26)</v>
      </c>
      <c r="H24" s="23">
        <v>9.9786885245900403E-2</v>
      </c>
      <c r="I24" s="23">
        <v>-8.0040000000000097E-2</v>
      </c>
      <c r="J24" s="23">
        <v>0.25782142857142898</v>
      </c>
      <c r="K24" s="11" t="str">
        <f t="shared" si="2"/>
        <v>-0.35 (-0.80, -0.05)</v>
      </c>
      <c r="L24" s="53">
        <v>-0.347576</v>
      </c>
      <c r="M24" s="6">
        <v>-0.80021686746987797</v>
      </c>
      <c r="N24" s="27">
        <v>-5.0428571428572502E-2</v>
      </c>
      <c r="P24" s="6"/>
    </row>
    <row r="25" spans="1:16" ht="15" thickBot="1" x14ac:dyDescent="0.35">
      <c r="A25" s="9"/>
      <c r="B25" s="10" t="s">
        <v>5</v>
      </c>
      <c r="C25" s="19" t="str">
        <f t="shared" si="0"/>
        <v>1.05 (0.86, 1.33)</v>
      </c>
      <c r="D25" s="19">
        <v>1.05166983503227</v>
      </c>
      <c r="E25" s="19">
        <v>0.86015618427182305</v>
      </c>
      <c r="F25" s="19">
        <v>1.33359678079636</v>
      </c>
      <c r="G25" s="95" t="str">
        <f t="shared" si="1"/>
        <v>0.87 (0.68, 1.08)</v>
      </c>
      <c r="H25" s="24">
        <v>0.86885245901639496</v>
      </c>
      <c r="I25" s="24">
        <v>0.67857142857142805</v>
      </c>
      <c r="J25" s="24">
        <v>1.08</v>
      </c>
      <c r="K25" s="13" t="str">
        <f t="shared" si="2"/>
        <v>1.26 (0.90, 1.80)</v>
      </c>
      <c r="L25" s="92">
        <v>1.256</v>
      </c>
      <c r="M25" s="10">
        <v>0.90476190476190599</v>
      </c>
      <c r="N25" s="28">
        <v>1.7951807228915699</v>
      </c>
    </row>
    <row r="26" spans="1:16" ht="45" customHeight="1" thickBot="1" x14ac:dyDescent="0.35">
      <c r="A26" s="158" t="s">
        <v>1</v>
      </c>
      <c r="B26" s="159" t="s">
        <v>24</v>
      </c>
      <c r="C26" s="159" t="s">
        <v>3</v>
      </c>
      <c r="D26" s="45" t="s">
        <v>66</v>
      </c>
      <c r="E26" s="45" t="s">
        <v>67</v>
      </c>
      <c r="F26" s="45" t="s">
        <v>68</v>
      </c>
      <c r="G26" s="159" t="s">
        <v>32</v>
      </c>
      <c r="H26" s="159" t="s">
        <v>61</v>
      </c>
      <c r="I26" s="159" t="s">
        <v>59</v>
      </c>
      <c r="J26" s="159" t="s">
        <v>60</v>
      </c>
      <c r="K26" s="159" t="s">
        <v>33</v>
      </c>
      <c r="L26" s="159" t="s">
        <v>61</v>
      </c>
      <c r="M26" s="159" t="s">
        <v>59</v>
      </c>
      <c r="N26" s="160" t="s">
        <v>60</v>
      </c>
      <c r="P26" s="6"/>
    </row>
    <row r="27" spans="1:16" x14ac:dyDescent="0.3">
      <c r="A27" s="3" t="s">
        <v>142</v>
      </c>
      <c r="B27" s="6" t="s">
        <v>4</v>
      </c>
      <c r="C27" s="171" t="str">
        <f>TEXT(D27,"0.00")&amp;" ("&amp;TEXT(E27,"0.00")&amp;", "&amp;TEXT(F27,"0.00")&amp;")"</f>
        <v>78.41 (66.10, 97.05)</v>
      </c>
      <c r="D27" s="156">
        <v>78.410320390265994</v>
      </c>
      <c r="E27" s="156">
        <v>66.095440324438201</v>
      </c>
      <c r="F27" s="156">
        <v>97.052097737897398</v>
      </c>
      <c r="G27" s="171" t="str">
        <f>TEXT(H27,"0.00")&amp;" ("&amp;TEXT(I27,"0.00")&amp;", "&amp;TEXT(J27,"0.00")&amp;")"</f>
        <v>147.37 (92.58, 209.74)</v>
      </c>
      <c r="H27" s="156">
        <v>147.36771300448399</v>
      </c>
      <c r="I27" s="156">
        <v>92.578456758155895</v>
      </c>
      <c r="J27" s="156">
        <v>209.74499999999901</v>
      </c>
      <c r="K27" s="171" t="str">
        <f>TEXT(L27,"0.00")&amp;" ("&amp;TEXT(M27,"0.00")&amp;", "&amp;TEXT(N27,"0.00")&amp;")"</f>
        <v>93.06 (80.46, 108.18)</v>
      </c>
      <c r="L27" s="156">
        <v>93.055099648299802</v>
      </c>
      <c r="M27" s="156">
        <v>80.458490020248504</v>
      </c>
      <c r="N27" s="157">
        <v>108.176470588234</v>
      </c>
      <c r="P27" s="6"/>
    </row>
    <row r="28" spans="1:16" x14ac:dyDescent="0.3">
      <c r="A28" s="5"/>
      <c r="B28" s="6" t="s">
        <v>5</v>
      </c>
      <c r="C28" s="171" t="str">
        <f t="shared" ref="C28:C50" si="3">TEXT(D28,"0.00")&amp;" ("&amp;TEXT(E28,"0.00")&amp;", "&amp;TEXT(F28,"0.00")&amp;")"</f>
        <v>0.97 (0.97, 0.97)</v>
      </c>
      <c r="D28" s="156">
        <v>0.97059705430471199</v>
      </c>
      <c r="E28" s="156">
        <v>0.96657769739491695</v>
      </c>
      <c r="F28" s="156">
        <v>0.97336411898406106</v>
      </c>
      <c r="G28" s="171" t="str">
        <f t="shared" ref="G28:G50" si="4">TEXT(H28,"0.00")&amp;" ("&amp;TEXT(I28,"0.00")&amp;", "&amp;TEXT(J28,"0.00")&amp;")"</f>
        <v>0.92 (0.90, 0.93)</v>
      </c>
      <c r="H28" s="156">
        <v>0.91928251121076199</v>
      </c>
      <c r="I28" s="156">
        <v>0.90375000000000005</v>
      </c>
      <c r="J28" s="156">
        <v>0.93474883480062199</v>
      </c>
      <c r="K28" s="171" t="str">
        <f t="shared" ref="K28:K50" si="5">TEXT(L28,"0.00")&amp;" ("&amp;TEXT(M28,"0.00")&amp;", "&amp;TEXT(N28,"0.00")&amp;")"</f>
        <v>0.96 (0.96, 0.96)</v>
      </c>
      <c r="L28" s="156">
        <v>0.958968347010551</v>
      </c>
      <c r="M28" s="156">
        <v>0.95588235294117696</v>
      </c>
      <c r="N28" s="157">
        <v>0.96181660399190105</v>
      </c>
      <c r="P28" s="6"/>
    </row>
    <row r="29" spans="1:16" x14ac:dyDescent="0.3">
      <c r="A29" s="5" t="s">
        <v>104</v>
      </c>
      <c r="B29" s="6" t="s">
        <v>4</v>
      </c>
      <c r="C29" s="193" t="str">
        <f>TEXT(D29,"0.00")&amp;" ("&amp;TEXT(E29,"0.00")&amp;", "&amp;TEXT(F29,"0.00")&amp;")"</f>
        <v>-48.11 (-76.57, -9.23)</v>
      </c>
      <c r="D29" s="93">
        <v>-48.111091008043701</v>
      </c>
      <c r="E29">
        <v>-76.565264344189302</v>
      </c>
      <c r="F29">
        <v>-9.2292476631324707</v>
      </c>
      <c r="G29" s="50" t="str">
        <f>TEXT(H29,"0.00")&amp;" ("&amp;TEXT(I29,"0.00")&amp;", "&amp;TEXT(J29,"0.00")&amp;")"</f>
        <v>-0.90 (-13.11, 22.28)</v>
      </c>
      <c r="H29" s="53">
        <v>-0.90031152647964097</v>
      </c>
      <c r="I29" s="6">
        <v>-13.1074766355141</v>
      </c>
      <c r="J29" s="6">
        <v>22.278409090909001</v>
      </c>
      <c r="K29" s="50" t="str">
        <f>TEXT(L29,"0.00")&amp;" ("&amp;TEXT(M29,"0.00")&amp;", "&amp;TEXT(N29,"0.00")&amp;")"</f>
        <v>-46.23 (-89.50, -18.33)</v>
      </c>
      <c r="L29" s="53">
        <v>-46.225201072386099</v>
      </c>
      <c r="M29" s="6">
        <v>-89.495000000000005</v>
      </c>
      <c r="N29" s="27">
        <v>-18.3302180685358</v>
      </c>
      <c r="P29" s="6"/>
    </row>
    <row r="30" spans="1:16" x14ac:dyDescent="0.3">
      <c r="A30" s="5"/>
      <c r="B30" s="6" t="s">
        <v>5</v>
      </c>
      <c r="C30" s="192" t="str">
        <f t="shared" si="3"/>
        <v>1.10 (1.05, 1.15)</v>
      </c>
      <c r="D30" s="93">
        <v>1.10340812473371</v>
      </c>
      <c r="E30">
        <v>1.05331935696099</v>
      </c>
      <c r="F30">
        <v>1.1465977439072801</v>
      </c>
      <c r="G30" s="50" t="str">
        <f t="shared" si="4"/>
        <v>1.12 (1.09, 1.14)</v>
      </c>
      <c r="H30" s="93">
        <v>1.1152647975077901</v>
      </c>
      <c r="I30">
        <v>1.08522727272727</v>
      </c>
      <c r="J30">
        <v>1.13551401869159</v>
      </c>
      <c r="K30" s="50" t="str">
        <f t="shared" si="5"/>
        <v>1.07 (1.03, 1.14)</v>
      </c>
      <c r="L30" s="53">
        <v>1.07238605898123</v>
      </c>
      <c r="M30" s="6">
        <v>1.0311526479750801</v>
      </c>
      <c r="N30" s="27">
        <v>1.135</v>
      </c>
      <c r="P30" s="6"/>
    </row>
    <row r="31" spans="1:16" x14ac:dyDescent="0.3">
      <c r="A31" s="5" t="s">
        <v>11</v>
      </c>
      <c r="B31" s="6" t="s">
        <v>4</v>
      </c>
      <c r="C31" s="192" t="str">
        <f t="shared" si="3"/>
        <v>-167.35 (-252.49, -56.92)</v>
      </c>
      <c r="D31" s="93">
        <v>-167.353558446677</v>
      </c>
      <c r="E31">
        <v>-252.48800418151799</v>
      </c>
      <c r="F31">
        <v>-56.921736407165596</v>
      </c>
      <c r="G31" s="50" t="str">
        <f t="shared" si="4"/>
        <v>-390.73 (-478.35, -324.13)</v>
      </c>
      <c r="H31" s="93">
        <v>-390.72535211267598</v>
      </c>
      <c r="I31">
        <v>-478.35</v>
      </c>
      <c r="J31">
        <v>-324.125</v>
      </c>
      <c r="K31" s="50" t="str">
        <f t="shared" si="5"/>
        <v>-465.07 (-610.17, -329.65)</v>
      </c>
      <c r="L31" s="53">
        <v>-465.066666666667</v>
      </c>
      <c r="M31" s="6">
        <v>-610.17415730337098</v>
      </c>
      <c r="N31" s="27">
        <v>-329.65030674846599</v>
      </c>
      <c r="P31" s="6"/>
    </row>
    <row r="32" spans="1:16" x14ac:dyDescent="0.3">
      <c r="A32" s="5"/>
      <c r="B32" s="6" t="s">
        <v>5</v>
      </c>
      <c r="C32" s="193" t="str">
        <f t="shared" si="3"/>
        <v>1.30 (1.19, 1.39)</v>
      </c>
      <c r="D32" s="93">
        <v>1.2978153024133301</v>
      </c>
      <c r="E32">
        <v>1.18589215531821</v>
      </c>
      <c r="F32">
        <v>1.38975154885673</v>
      </c>
      <c r="G32" s="50" t="str">
        <f t="shared" si="4"/>
        <v>1.60 (1.53, 1.69)</v>
      </c>
      <c r="H32" s="93">
        <v>1.5985915492957801</v>
      </c>
      <c r="I32">
        <v>1.5249999999999999</v>
      </c>
      <c r="J32">
        <v>1.69</v>
      </c>
      <c r="K32" s="50" t="str">
        <f t="shared" si="5"/>
        <v>1.53 (1.39, 1.69)</v>
      </c>
      <c r="L32" s="53">
        <v>1.5333333333333301</v>
      </c>
      <c r="M32" s="6">
        <v>1.3865030674846599</v>
      </c>
      <c r="N32" s="27">
        <v>1.69101123595506</v>
      </c>
      <c r="P32" s="6"/>
    </row>
    <row r="33" spans="1:16" x14ac:dyDescent="0.3">
      <c r="A33" s="5" t="s">
        <v>13</v>
      </c>
      <c r="B33" s="6" t="s">
        <v>4</v>
      </c>
      <c r="C33" s="50" t="str">
        <f t="shared" si="3"/>
        <v>-1.97 (-3.24, -1.11)</v>
      </c>
      <c r="D33" s="93">
        <v>-1.9689059433485301</v>
      </c>
      <c r="E33">
        <v>-3.2408814825381702</v>
      </c>
      <c r="F33">
        <v>-1.1105712657868601</v>
      </c>
      <c r="G33" s="50" t="str">
        <f>"*"&amp;TEXT(H33,"0.00")&amp;" ("&amp;TEXT(I33,"0.00")&amp;", "&amp;TEXT(J33,"0.00")&amp;")"</f>
        <v>*-3.50 (0.00, 0.00)</v>
      </c>
      <c r="H33" s="93">
        <v>-3.5035239012339101</v>
      </c>
      <c r="I33" s="26"/>
      <c r="J33" s="26"/>
      <c r="K33" s="50" t="str">
        <f>"*"&amp;TEXT(L33,"0.00")&amp;" ("&amp;TEXT(M33,"0.00")&amp;", "&amp;TEXT(N33,"0.00")&amp;")"</f>
        <v>*-0.22 (0.00, 0.00)</v>
      </c>
      <c r="L33" s="53">
        <v>-0.22030853313443899</v>
      </c>
      <c r="M33" s="47"/>
      <c r="N33" s="48"/>
      <c r="P33" s="6"/>
    </row>
    <row r="34" spans="1:16" x14ac:dyDescent="0.3">
      <c r="A34" s="5"/>
      <c r="B34" s="6" t="s">
        <v>5</v>
      </c>
      <c r="C34" s="50" t="str">
        <f t="shared" si="3"/>
        <v>1.20 (1.13, 1.29)</v>
      </c>
      <c r="D34" s="93">
        <v>1.1995940432097201</v>
      </c>
      <c r="E34">
        <v>1.1266632233755001</v>
      </c>
      <c r="F34">
        <v>1.2852885643440299</v>
      </c>
      <c r="G34" s="50" t="str">
        <f>"*"&amp;TEXT(H34,"0.00")&amp;" ("&amp;TEXT(I34,"0.00")&amp;", "&amp;TEXT(J34,"0.00")&amp;")"</f>
        <v>*0.95 (0.78, 1.16)</v>
      </c>
      <c r="H34" s="93">
        <v>0.95053852627491398</v>
      </c>
      <c r="I34">
        <v>0.77723951054916396</v>
      </c>
      <c r="J34">
        <v>1.1624775602240001</v>
      </c>
      <c r="K34" s="50" t="str">
        <f>"*"&amp;TEXT(L34,"0.00")&amp;" ("&amp;TEXT(M34,"0.00")&amp;", "&amp;TEXT(N34,"0.00")&amp;")"</f>
        <v>*1.36 (1.14, 1.62)</v>
      </c>
      <c r="L34" s="53">
        <v>1.35761585338752</v>
      </c>
      <c r="M34" s="6">
        <v>1.1394796269434599</v>
      </c>
      <c r="N34" s="27">
        <v>1.61751097763205</v>
      </c>
      <c r="P34" s="6"/>
    </row>
    <row r="35" spans="1:16" x14ac:dyDescent="0.3">
      <c r="A35" s="5" t="s">
        <v>14</v>
      </c>
      <c r="B35" s="6" t="s">
        <v>4</v>
      </c>
      <c r="C35" s="50" t="str">
        <f t="shared" si="3"/>
        <v>-181.32 (-276.20, -67.48)</v>
      </c>
      <c r="D35" s="93">
        <v>-181.32199186213799</v>
      </c>
      <c r="E35">
        <v>-276.19601296080299</v>
      </c>
      <c r="F35">
        <v>-67.484305362005699</v>
      </c>
      <c r="G35" s="50" t="str">
        <f t="shared" si="4"/>
        <v>-272.89 (-352.80, -202.22)</v>
      </c>
      <c r="H35" s="93">
        <v>-272.88554216867499</v>
      </c>
      <c r="I35">
        <v>-352.80205655526998</v>
      </c>
      <c r="J35">
        <v>-202.215827338129</v>
      </c>
      <c r="K35" s="50" t="str">
        <f t="shared" si="5"/>
        <v>-401.32 (-566.75, -243.86)</v>
      </c>
      <c r="L35" s="53">
        <v>-401.31610337972199</v>
      </c>
      <c r="M35" s="6">
        <v>-566.74673629242795</v>
      </c>
      <c r="N35" s="27">
        <v>-243.857142857144</v>
      </c>
      <c r="P35" s="6"/>
    </row>
    <row r="36" spans="1:16" x14ac:dyDescent="0.3">
      <c r="A36" s="5"/>
      <c r="B36" s="6" t="s">
        <v>5</v>
      </c>
      <c r="C36" s="50" t="str">
        <f t="shared" si="3"/>
        <v>1.20 (1.13, 1.25)</v>
      </c>
      <c r="D36" s="93">
        <v>1.19720865046903</v>
      </c>
      <c r="E36">
        <v>1.1281305526480401</v>
      </c>
      <c r="F36">
        <v>1.25227234029803</v>
      </c>
      <c r="G36" s="50" t="str">
        <f t="shared" si="4"/>
        <v>1.32 (1.28, 1.37)</v>
      </c>
      <c r="H36" s="93">
        <v>1.31927710843373</v>
      </c>
      <c r="I36">
        <v>1.2757793764987999</v>
      </c>
      <c r="J36">
        <v>1.36503856041131</v>
      </c>
      <c r="K36" s="50" t="str">
        <f t="shared" si="5"/>
        <v>1.27 (1.18, 1.37)</v>
      </c>
      <c r="L36" s="53">
        <v>1.2723658051689899</v>
      </c>
      <c r="M36" s="6">
        <v>1.1785714285714299</v>
      </c>
      <c r="N36" s="27">
        <v>1.37075718015666</v>
      </c>
      <c r="P36" s="6"/>
    </row>
    <row r="37" spans="1:16" x14ac:dyDescent="0.3">
      <c r="A37" s="5" t="s">
        <v>15</v>
      </c>
      <c r="B37" s="6" t="s">
        <v>4</v>
      </c>
      <c r="C37" s="50" t="str">
        <f t="shared" si="3"/>
        <v>-1.19 (-5.52, 0.68)</v>
      </c>
      <c r="D37" s="93">
        <v>-1.1937776729970999</v>
      </c>
      <c r="E37">
        <v>-5.5216741219612304</v>
      </c>
      <c r="F37">
        <v>0.67586221872017804</v>
      </c>
      <c r="G37" s="50" t="str">
        <f>"*"&amp;TEXT(H37,"0.00")&amp;" ("&amp;TEXT(I37,"0.00")&amp;", "&amp;TEXT(J37,"0.00")&amp;")"</f>
        <v>*-0.87 (0.00, 0.00)</v>
      </c>
      <c r="H37" s="93">
        <v>-0.87166565356382497</v>
      </c>
      <c r="I37" s="26"/>
      <c r="J37" s="26"/>
      <c r="K37" s="50" t="str">
        <f>"*"&amp;TEXT(L37,"0.00")&amp;" ("&amp;TEXT(M37,"0.00")&amp;", "&amp;TEXT(N37,"0.00")&amp;")"</f>
        <v>*-0.88 (0.00, 0.00)</v>
      </c>
      <c r="L37" s="53">
        <v>-0.88374936178659902</v>
      </c>
      <c r="M37" s="47"/>
      <c r="N37" s="48"/>
      <c r="P37" s="6"/>
    </row>
    <row r="38" spans="1:16" x14ac:dyDescent="0.3">
      <c r="A38" s="5"/>
      <c r="B38" s="6" t="s">
        <v>5</v>
      </c>
      <c r="C38" s="50" t="str">
        <f t="shared" si="3"/>
        <v>1.12 (0.94, 1.51)</v>
      </c>
      <c r="D38" s="93">
        <v>1.11803560755995</v>
      </c>
      <c r="E38">
        <v>0.94238122713521999</v>
      </c>
      <c r="F38">
        <v>1.50579362174262</v>
      </c>
      <c r="G38" s="50" t="str">
        <f>"*"&amp;TEXT(H38,"0.00")&amp;" ("&amp;TEXT(I38,"0.00")&amp;", "&amp;TEXT(J38,"0.00")&amp;")"</f>
        <v>*1.15 (0.89, 1.48)</v>
      </c>
      <c r="H38" s="93">
        <v>1.1495340671022201</v>
      </c>
      <c r="I38">
        <v>0.892859522654739</v>
      </c>
      <c r="J38">
        <v>1.47999605525802</v>
      </c>
      <c r="K38" s="50" t="str">
        <f>"*"&amp;TEXT(L38,"0.00")&amp;" ("&amp;TEXT(M38,"0.00")&amp;", "&amp;TEXT(N38,"0.00")&amp;")"</f>
        <v>*1.03 (0.57, 1.84)</v>
      </c>
      <c r="L38" s="53">
        <v>1.02643627594285</v>
      </c>
      <c r="M38" s="6">
        <v>0.573235966765543</v>
      </c>
      <c r="N38" s="27">
        <v>1.8379367130715001</v>
      </c>
      <c r="P38" s="6"/>
    </row>
    <row r="39" spans="1:16" x14ac:dyDescent="0.3">
      <c r="A39" s="5" t="s">
        <v>16</v>
      </c>
      <c r="B39" s="6" t="s">
        <v>4</v>
      </c>
      <c r="C39" s="50" t="str">
        <f t="shared" si="3"/>
        <v>1.81 (-0.42, 3.69)</v>
      </c>
      <c r="D39" s="93">
        <v>1.81005441020452</v>
      </c>
      <c r="E39">
        <v>-0.422693164793781</v>
      </c>
      <c r="F39">
        <v>3.6949931181177198</v>
      </c>
      <c r="G39" s="50" t="str">
        <f t="shared" si="4"/>
        <v>-1.98 (-6.09, 1.65)</v>
      </c>
      <c r="H39" s="93">
        <v>-1.9818181818181899</v>
      </c>
      <c r="I39">
        <v>-6.0866666666666696</v>
      </c>
      <c r="J39">
        <v>1.6512195121951201</v>
      </c>
      <c r="K39" s="50" t="str">
        <f t="shared" si="5"/>
        <v>17.76 (11.13, 22.78)</v>
      </c>
      <c r="L39" s="53">
        <v>17.757142857142899</v>
      </c>
      <c r="M39" s="6">
        <v>11.1315789473684</v>
      </c>
      <c r="N39" s="27">
        <v>22.781632653061202</v>
      </c>
      <c r="P39" s="6"/>
    </row>
    <row r="40" spans="1:16" x14ac:dyDescent="0.3">
      <c r="A40" s="5"/>
      <c r="B40" s="6" t="s">
        <v>5</v>
      </c>
      <c r="C40" s="50" t="str">
        <f t="shared" si="3"/>
        <v>1.16 (1.04, 1.31)</v>
      </c>
      <c r="D40" s="93">
        <v>1.1600427257630599</v>
      </c>
      <c r="E40">
        <v>1.03648892215305</v>
      </c>
      <c r="F40">
        <v>1.3069291544689099</v>
      </c>
      <c r="G40" s="50" t="str">
        <f t="shared" si="4"/>
        <v>1.27 (1.02, 1.57)</v>
      </c>
      <c r="H40" s="93">
        <v>1.27272727272727</v>
      </c>
      <c r="I40">
        <v>1.0243902439024399</v>
      </c>
      <c r="J40">
        <v>1.56666666666667</v>
      </c>
      <c r="K40" s="50" t="str">
        <f t="shared" si="5"/>
        <v>1.07 (0.67, 1.51)</v>
      </c>
      <c r="L40" s="53">
        <v>1.0714285714285701</v>
      </c>
      <c r="M40" s="6">
        <v>0.67346938775510201</v>
      </c>
      <c r="N40" s="27">
        <v>1.5087719298245601</v>
      </c>
      <c r="P40" s="6"/>
    </row>
    <row r="41" spans="1:16" x14ac:dyDescent="0.3">
      <c r="A41" s="5" t="s">
        <v>18</v>
      </c>
      <c r="B41" s="6" t="s">
        <v>4</v>
      </c>
      <c r="C41" s="50" t="str">
        <f t="shared" si="3"/>
        <v>0.42 (-0.25, 0.97)</v>
      </c>
      <c r="D41" s="93">
        <v>0.41971325155662498</v>
      </c>
      <c r="E41">
        <v>-0.25018393270627298</v>
      </c>
      <c r="F41">
        <v>0.96861951942823099</v>
      </c>
      <c r="G41" s="50" t="str">
        <f t="shared" si="4"/>
        <v>-1.00 (-2.25, -0.05)</v>
      </c>
      <c r="H41" s="93">
        <v>-1</v>
      </c>
      <c r="I41">
        <v>-2.2518518518518502</v>
      </c>
      <c r="J41">
        <v>-5.3125000000000498E-2</v>
      </c>
      <c r="K41" s="50" t="str">
        <f t="shared" si="5"/>
        <v>1.80 (-0.12, 3.20)</v>
      </c>
      <c r="L41" s="53">
        <v>1.8</v>
      </c>
      <c r="M41" s="6">
        <v>-0.115789473684211</v>
      </c>
      <c r="N41" s="27">
        <v>3.2</v>
      </c>
      <c r="P41" s="6"/>
    </row>
    <row r="42" spans="1:16" x14ac:dyDescent="0.3">
      <c r="A42" s="5"/>
      <c r="B42" s="6" t="s">
        <v>5</v>
      </c>
      <c r="C42" s="50" t="str">
        <f t="shared" si="3"/>
        <v>1.40 (1.28, 1.55)</v>
      </c>
      <c r="D42" s="93">
        <v>1.3996075809356201</v>
      </c>
      <c r="E42">
        <v>1.27701639337482</v>
      </c>
      <c r="F42">
        <v>1.5486931988672199</v>
      </c>
      <c r="G42" s="50" t="str">
        <f t="shared" si="4"/>
        <v>1.20 (0.97, 1.48)</v>
      </c>
      <c r="H42" s="93">
        <v>1.2</v>
      </c>
      <c r="I42">
        <v>0.96875</v>
      </c>
      <c r="J42">
        <v>1.4814814814814801</v>
      </c>
      <c r="K42" s="50" t="str">
        <f t="shared" si="5"/>
        <v>1.38 (1.00, 1.79)</v>
      </c>
      <c r="L42" s="53">
        <v>1.3823529411764699</v>
      </c>
      <c r="M42" s="6">
        <v>1</v>
      </c>
      <c r="N42" s="27">
        <v>1.7894736842105301</v>
      </c>
      <c r="P42" s="6"/>
    </row>
    <row r="43" spans="1:16" x14ac:dyDescent="0.3">
      <c r="A43" s="5" t="s">
        <v>19</v>
      </c>
      <c r="B43" s="6" t="s">
        <v>4</v>
      </c>
      <c r="C43" s="50" t="str">
        <f t="shared" si="3"/>
        <v>34.78 (24.23, 51.68)</v>
      </c>
      <c r="D43" s="93">
        <v>34.779866199733902</v>
      </c>
      <c r="E43">
        <v>24.2278275331822</v>
      </c>
      <c r="F43">
        <v>51.682106273092202</v>
      </c>
      <c r="G43" s="50" t="str">
        <f t="shared" si="4"/>
        <v>19.49 (2.79, 41.86)</v>
      </c>
      <c r="H43" s="93">
        <v>19.4938271604939</v>
      </c>
      <c r="I43">
        <v>2.7881818181818998</v>
      </c>
      <c r="J43">
        <v>41.857517899761397</v>
      </c>
      <c r="K43" s="50" t="str">
        <f t="shared" si="5"/>
        <v>346.28 (277.66, 375.32)</v>
      </c>
      <c r="L43" s="53">
        <v>346.28241758241802</v>
      </c>
      <c r="M43" s="6">
        <v>277.65831134564598</v>
      </c>
      <c r="N43" s="27">
        <v>375.31707317073199</v>
      </c>
      <c r="P43" s="6"/>
    </row>
    <row r="44" spans="1:16" x14ac:dyDescent="0.3">
      <c r="A44" s="5"/>
      <c r="B44" s="6" t="s">
        <v>5</v>
      </c>
      <c r="C44" s="50" t="str">
        <f t="shared" si="3"/>
        <v>1.02 (0.94, 1.08)</v>
      </c>
      <c r="D44" s="93">
        <v>1.0243126946005601</v>
      </c>
      <c r="E44">
        <v>0.93692115771956197</v>
      </c>
      <c r="F44">
        <v>1.0817311638384399</v>
      </c>
      <c r="G44" s="50" t="str">
        <f t="shared" si="4"/>
        <v>1.36 (1.25, 1.44)</v>
      </c>
      <c r="H44" s="93">
        <v>1.3604938271604901</v>
      </c>
      <c r="I44">
        <v>1.24582338902148</v>
      </c>
      <c r="J44">
        <v>1.44090909090909</v>
      </c>
      <c r="K44" s="50" t="str">
        <f t="shared" si="5"/>
        <v>0.61 (0.42, 0.99)</v>
      </c>
      <c r="L44" s="53">
        <v>0.60805860805860901</v>
      </c>
      <c r="M44" s="6">
        <v>0.42073170731707399</v>
      </c>
      <c r="N44" s="27">
        <v>0.98548812664907703</v>
      </c>
      <c r="P44" s="6"/>
    </row>
    <row r="45" spans="1:16" x14ac:dyDescent="0.3">
      <c r="A45" s="5" t="s">
        <v>20</v>
      </c>
      <c r="B45" s="6" t="s">
        <v>4</v>
      </c>
      <c r="C45" s="50" t="str">
        <f t="shared" si="3"/>
        <v>-45.82 (-74.38, -30.77)</v>
      </c>
      <c r="D45" s="93">
        <v>-45.819624434839497</v>
      </c>
      <c r="E45">
        <v>-74.379686754948395</v>
      </c>
      <c r="F45">
        <v>-30.769200694690099</v>
      </c>
      <c r="G45" s="50" t="str">
        <f t="shared" si="4"/>
        <v>-69.38 (-104.17, -31.11)</v>
      </c>
      <c r="H45" s="93">
        <v>-69.379591836734093</v>
      </c>
      <c r="I45">
        <v>-104.171875</v>
      </c>
      <c r="J45">
        <v>-31.108830022075299</v>
      </c>
      <c r="K45" s="50" t="str">
        <f t="shared" si="5"/>
        <v>-29.23 (-134.45, 5.46)</v>
      </c>
      <c r="L45" s="53">
        <v>-29.2263157894747</v>
      </c>
      <c r="M45" s="6">
        <v>-134.44705882353</v>
      </c>
      <c r="N45" s="27">
        <v>5.4599999999982698</v>
      </c>
      <c r="P45" s="6"/>
    </row>
    <row r="46" spans="1:16" x14ac:dyDescent="0.3">
      <c r="A46" s="5"/>
      <c r="B46" s="6" t="s">
        <v>5</v>
      </c>
      <c r="C46" s="50" t="str">
        <f t="shared" si="3"/>
        <v>1.25 (1.19, 1.36)</v>
      </c>
      <c r="D46" s="93">
        <v>1.2516953372086901</v>
      </c>
      <c r="E46">
        <v>1.19019963335999</v>
      </c>
      <c r="F46">
        <v>1.36411971563552</v>
      </c>
      <c r="G46" s="50" t="str">
        <f t="shared" si="4"/>
        <v>1.35 (1.18, 1.50)</v>
      </c>
      <c r="H46" s="93">
        <v>1.3469387755102</v>
      </c>
      <c r="I46">
        <v>1.1832229580574001</v>
      </c>
      <c r="J46">
        <v>1.49553571428572</v>
      </c>
      <c r="K46" s="50" t="str">
        <f t="shared" si="5"/>
        <v>1.02 (0.89, 1.44)</v>
      </c>
      <c r="L46" s="53">
        <v>1.01754385964913</v>
      </c>
      <c r="M46" s="6">
        <v>0.885714285714292</v>
      </c>
      <c r="N46" s="27">
        <v>1.4397759103641501</v>
      </c>
      <c r="P46" s="6"/>
    </row>
    <row r="47" spans="1:16" x14ac:dyDescent="0.3">
      <c r="A47" s="5" t="s">
        <v>22</v>
      </c>
      <c r="B47" s="6" t="s">
        <v>4</v>
      </c>
      <c r="C47" s="50" t="str">
        <f t="shared" si="3"/>
        <v>-0.19 (-0.32, -0.10)</v>
      </c>
      <c r="D47" s="93">
        <v>-0.18925261137494101</v>
      </c>
      <c r="E47">
        <v>-0.31561264693268598</v>
      </c>
      <c r="F47">
        <v>-0.103386633390863</v>
      </c>
      <c r="G47" s="50" t="str">
        <f t="shared" si="4"/>
        <v>-0.26 (-0.52, -0.09)</v>
      </c>
      <c r="H47" s="93">
        <v>-0.26474193548387098</v>
      </c>
      <c r="I47">
        <v>-0.51896428571428499</v>
      </c>
      <c r="J47">
        <v>-8.9210526315788005E-2</v>
      </c>
      <c r="K47" s="50" t="str">
        <f t="shared" si="5"/>
        <v>-0.40 (-0.77, -0.06)</v>
      </c>
      <c r="L47" s="53">
        <v>-0.40471019955864501</v>
      </c>
      <c r="M47" s="6">
        <v>-0.76975539382362801</v>
      </c>
      <c r="N47" s="27">
        <v>-6.3413761224343598E-2</v>
      </c>
      <c r="P47" s="6"/>
    </row>
    <row r="48" spans="1:16" x14ac:dyDescent="0.3">
      <c r="A48" s="5"/>
      <c r="B48" s="6" t="s">
        <v>5</v>
      </c>
      <c r="C48" s="50" t="str">
        <f t="shared" si="3"/>
        <v>1.16 (1.05, 1.32)</v>
      </c>
      <c r="D48" s="93">
        <v>1.1610533035885899</v>
      </c>
      <c r="E48">
        <v>1.0524425673263</v>
      </c>
      <c r="F48">
        <v>1.32208682757439</v>
      </c>
      <c r="G48" s="50" t="str">
        <f t="shared" si="4"/>
        <v>1.29 (1.07, 1.61)</v>
      </c>
      <c r="H48" s="93">
        <v>1.2903225806451599</v>
      </c>
      <c r="I48">
        <v>1.0701754385964899</v>
      </c>
      <c r="J48">
        <v>1.6071428571428601</v>
      </c>
      <c r="K48" s="50" t="str">
        <f t="shared" si="5"/>
        <v>1.13 (0.72, 1.60)</v>
      </c>
      <c r="L48" s="53">
        <v>1.1349822749205301</v>
      </c>
      <c r="M48" s="6">
        <v>0.71962925087692897</v>
      </c>
      <c r="N48" s="27">
        <v>1.59575787416703</v>
      </c>
      <c r="P48" s="6"/>
    </row>
    <row r="49" spans="1:16" x14ac:dyDescent="0.3">
      <c r="A49" s="5" t="s">
        <v>21</v>
      </c>
      <c r="B49" s="6" t="s">
        <v>4</v>
      </c>
      <c r="C49" s="50" t="str">
        <f t="shared" si="3"/>
        <v>-0.21 (-0.31, -0.11)</v>
      </c>
      <c r="D49" s="93">
        <v>-0.206814137885483</v>
      </c>
      <c r="E49">
        <v>-0.30587497735998298</v>
      </c>
      <c r="F49">
        <v>-0.113770880762256</v>
      </c>
      <c r="G49" s="50" t="str">
        <f t="shared" si="4"/>
        <v>-0.11 (-0.38, 0.07)</v>
      </c>
      <c r="H49" s="93">
        <v>-0.114849056603772</v>
      </c>
      <c r="I49">
        <v>-0.37994736842105398</v>
      </c>
      <c r="J49">
        <v>7.4111111111111197E-2</v>
      </c>
      <c r="K49" s="50" t="str">
        <f t="shared" si="5"/>
        <v>-0.38 (-0.65, -0.06)</v>
      </c>
      <c r="L49" s="53">
        <v>-0.38142553191489398</v>
      </c>
      <c r="M49" s="6">
        <v>-0.645240506329115</v>
      </c>
      <c r="N49" s="27">
        <v>-5.8821428571428601E-2</v>
      </c>
      <c r="P49" s="6"/>
    </row>
    <row r="50" spans="1:16" ht="15" thickBot="1" x14ac:dyDescent="0.35">
      <c r="A50" s="9"/>
      <c r="B50" s="10" t="s">
        <v>5</v>
      </c>
      <c r="C50" s="51" t="str">
        <f t="shared" si="3"/>
        <v>1.19 (1.08, 1.31)</v>
      </c>
      <c r="D50" s="92">
        <v>1.19444415588655</v>
      </c>
      <c r="E50" s="10">
        <v>1.0828864078998699</v>
      </c>
      <c r="F50" s="10">
        <v>1.3137039533160899</v>
      </c>
      <c r="G50" s="51" t="str">
        <f t="shared" si="4"/>
        <v>1.15 (0.93, 1.47)</v>
      </c>
      <c r="H50" s="92">
        <v>1.15094339622641</v>
      </c>
      <c r="I50" s="10">
        <v>0.92592592592592604</v>
      </c>
      <c r="J50" s="10">
        <v>1.4736842105263199</v>
      </c>
      <c r="K50" s="51" t="str">
        <f t="shared" si="5"/>
        <v>1.31 (0.94, 1.63)</v>
      </c>
      <c r="L50" s="92">
        <v>1.31205673758865</v>
      </c>
      <c r="M50" s="10">
        <v>0.94047619047619102</v>
      </c>
      <c r="N50" s="28">
        <v>1.63291139240506</v>
      </c>
      <c r="P50" s="6"/>
    </row>
    <row r="51" spans="1:16" ht="78.599999999999994" thickBot="1" x14ac:dyDescent="0.35">
      <c r="A51" t="s">
        <v>1</v>
      </c>
      <c r="B51" s="159" t="s">
        <v>36</v>
      </c>
      <c r="C51" s="49" t="s">
        <v>39</v>
      </c>
      <c r="D51" s="49" t="s">
        <v>70</v>
      </c>
      <c r="E51" s="49" t="s">
        <v>71</v>
      </c>
      <c r="F51" s="49" t="s">
        <v>72</v>
      </c>
      <c r="G51" s="1" t="s">
        <v>34</v>
      </c>
      <c r="H51" s="1" t="s">
        <v>61</v>
      </c>
      <c r="I51" s="1" t="s">
        <v>59</v>
      </c>
      <c r="J51" s="1" t="s">
        <v>60</v>
      </c>
      <c r="K51" s="1" t="s">
        <v>35</v>
      </c>
      <c r="L51" s="1" t="s">
        <v>61</v>
      </c>
      <c r="M51" s="1" t="s">
        <v>59</v>
      </c>
      <c r="N51" s="160" t="s">
        <v>60</v>
      </c>
    </row>
    <row r="52" spans="1:16" x14ac:dyDescent="0.3">
      <c r="A52" s="3" t="s">
        <v>142</v>
      </c>
      <c r="B52" s="6" t="s">
        <v>4</v>
      </c>
      <c r="C52" s="170" t="str">
        <f>TEXT(D52,"0.00")&amp;" ("&amp;TEXT(E52,"0.00")&amp;", "&amp;TEXT(F52,"0.00")&amp;")"</f>
        <v>-13.65 (-19.34, -5.20)</v>
      </c>
      <c r="D52" s="154">
        <v>-13.648174149818701</v>
      </c>
      <c r="E52" s="154">
        <v>-19.338185584716499</v>
      </c>
      <c r="F52" s="154">
        <v>-5.1975526110500097</v>
      </c>
      <c r="G52" s="170" t="str">
        <f>TEXT(H52,"0.00")&amp;" ("&amp;TEXT(I52,"0.00")&amp;", "&amp;TEXT(J52,"0.00")&amp;")"</f>
        <v>58.25 (11.70, 122.09)</v>
      </c>
      <c r="H52" s="154">
        <v>58.250696378830099</v>
      </c>
      <c r="I52" s="154">
        <v>11.6991869918697</v>
      </c>
      <c r="J52" s="154">
        <v>122.087126137841</v>
      </c>
      <c r="K52" s="170" t="str">
        <f>TEXT(L52,"0.00")&amp;" ("&amp;TEXT(M52,"0.00")&amp;", "&amp;TEXT(N52,"0.00")&amp;")"</f>
        <v>-97.04 (-113.17, -83.65)</v>
      </c>
      <c r="L52" s="154">
        <v>-97.036674816627098</v>
      </c>
      <c r="M52" s="154">
        <v>-113.16923076923101</v>
      </c>
      <c r="N52" s="155">
        <v>-83.652631578946995</v>
      </c>
    </row>
    <row r="53" spans="1:16" x14ac:dyDescent="0.3">
      <c r="A53" s="5"/>
      <c r="B53" s="6" t="s">
        <v>5</v>
      </c>
      <c r="C53" s="171" t="str">
        <f t="shared" ref="C53:C75" si="6">TEXT(D53,"0.00")&amp;" ("&amp;TEXT(E53,"0.00")&amp;", "&amp;TEXT(F53,"0.00")&amp;")"</f>
        <v>1.01 (1.01, 1.01)</v>
      </c>
      <c r="D53" s="156">
        <v>1.01145063545965</v>
      </c>
      <c r="E53" s="156">
        <v>1.00917992305421</v>
      </c>
      <c r="F53" s="156">
        <v>1.0128883488715099</v>
      </c>
      <c r="G53" s="171" t="str">
        <f t="shared" ref="G53:G75" si="7">TEXT(H53,"0.00")&amp;" ("&amp;TEXT(I53,"0.00")&amp;", "&amp;TEXT(J53,"0.00")&amp;")"</f>
        <v>0.96 (0.94, 0.97)</v>
      </c>
      <c r="H53" s="156">
        <v>0.95961002785515304</v>
      </c>
      <c r="I53" s="156">
        <v>0.94018205461638504</v>
      </c>
      <c r="J53" s="156">
        <v>0.97154471544715504</v>
      </c>
      <c r="K53" s="171" t="str">
        <f t="shared" ref="K53:K75" si="8">TEXT(L53,"0.00")&amp;" ("&amp;TEXT(M53,"0.00")&amp;", "&amp;TEXT(N53,"0.00")&amp;")"</f>
        <v>1.04 (1.04, 1.05)</v>
      </c>
      <c r="L53" s="156">
        <v>1.0427872860635701</v>
      </c>
      <c r="M53" s="156">
        <v>1.0396992481203</v>
      </c>
      <c r="N53" s="157">
        <v>1.04615384615385</v>
      </c>
    </row>
    <row r="54" spans="1:16" x14ac:dyDescent="0.3">
      <c r="A54" s="5" t="s">
        <v>104</v>
      </c>
      <c r="B54" s="6" t="s">
        <v>4</v>
      </c>
      <c r="C54" s="172" t="str">
        <f>TEXT(D54,"0.00")&amp;" ("&amp;TEXT(E54,"0.00")&amp;", "&amp;TEXT(F54,"0.00")&amp;")"</f>
        <v>-0.64 (-13.88, 11.40)</v>
      </c>
      <c r="D54" s="53">
        <v>-0.63635579957235699</v>
      </c>
      <c r="E54" s="6">
        <v>-13.8792531244457</v>
      </c>
      <c r="F54" s="6">
        <v>11.4027931202946</v>
      </c>
      <c r="G54" s="50" t="str">
        <f>TEXT(H54,"0.00")&amp;" ("&amp;TEXT(I54,"0.00")&amp;", "&amp;TEXT(J54,"0.00")&amp;")"</f>
        <v>47.61 (28.95, 78.00)</v>
      </c>
      <c r="H54" s="53">
        <v>47.6082474226804</v>
      </c>
      <c r="I54" s="6">
        <v>28.948412698412699</v>
      </c>
      <c r="J54" s="6">
        <v>78.000000000000099</v>
      </c>
      <c r="K54" s="50" t="str">
        <f>TEXT(L54,"0.00")&amp;" ("&amp;TEXT(M54,"0.00")&amp;", "&amp;TEXT(N54,"0.00")&amp;")"</f>
        <v>43.11 (17.78, 78.85)</v>
      </c>
      <c r="L54" s="53">
        <v>43.104999999999997</v>
      </c>
      <c r="M54" s="6">
        <v>17.776435045317299</v>
      </c>
      <c r="N54" s="27">
        <v>78.850220264317201</v>
      </c>
      <c r="P54" s="6"/>
    </row>
    <row r="55" spans="1:16" x14ac:dyDescent="0.3">
      <c r="A55" s="5"/>
      <c r="B55" s="6" t="s">
        <v>5</v>
      </c>
      <c r="C55" s="172" t="str">
        <f t="shared" si="6"/>
        <v>1.03 (1.01, 1.05)</v>
      </c>
      <c r="D55" s="53">
        <v>1.03004310998363</v>
      </c>
      <c r="E55" s="6">
        <v>1.01228651404294</v>
      </c>
      <c r="F55" s="6">
        <v>1.05032319777057</v>
      </c>
      <c r="G55" s="50" t="str">
        <f t="shared" si="7"/>
        <v>1.04 (1.00, 1.07)</v>
      </c>
      <c r="H55" s="53">
        <v>1.0412371134020599</v>
      </c>
      <c r="I55" s="53">
        <v>1</v>
      </c>
      <c r="J55" s="53">
        <v>1.0674603174603201</v>
      </c>
      <c r="K55" s="50" t="str">
        <f t="shared" si="8"/>
        <v>0.93 (0.88, 0.97)</v>
      </c>
      <c r="L55" s="53">
        <v>0.9325</v>
      </c>
      <c r="M55" s="6">
        <v>0.88105726872246704</v>
      </c>
      <c r="N55" s="27">
        <v>0.96978851963746204</v>
      </c>
      <c r="P55" s="6"/>
    </row>
    <row r="56" spans="1:16" x14ac:dyDescent="0.3">
      <c r="A56" s="5" t="s">
        <v>11</v>
      </c>
      <c r="B56" s="6" t="s">
        <v>4</v>
      </c>
      <c r="C56" s="172" t="str">
        <f t="shared" si="6"/>
        <v>226.94 (185.10, 259.26)</v>
      </c>
      <c r="D56" s="53">
        <v>226.94118750808801</v>
      </c>
      <c r="E56" s="6">
        <v>185.09754222490801</v>
      </c>
      <c r="F56" s="6">
        <v>259.25689922766298</v>
      </c>
      <c r="G56" s="50" t="str">
        <f t="shared" si="7"/>
        <v>77.47 (-5.49, 125.67)</v>
      </c>
      <c r="H56" s="53">
        <v>77.474226804123703</v>
      </c>
      <c r="I56" s="6">
        <v>-5.49367088607596</v>
      </c>
      <c r="J56" s="6">
        <v>125.666666666667</v>
      </c>
      <c r="K56" s="50" t="str">
        <f t="shared" si="8"/>
        <v>303.30 (237.76, 360.83)</v>
      </c>
      <c r="L56" s="53">
        <v>303.304347826087</v>
      </c>
      <c r="M56" s="53">
        <v>237.75663716814199</v>
      </c>
      <c r="N56" s="27">
        <v>360.83388704318901</v>
      </c>
      <c r="P56" s="6"/>
    </row>
    <row r="57" spans="1:16" x14ac:dyDescent="0.3">
      <c r="A57" s="5"/>
      <c r="B57" s="6" t="s">
        <v>5</v>
      </c>
      <c r="C57" s="172" t="str">
        <f t="shared" si="6"/>
        <v>0.85 (0.81, 0.89)</v>
      </c>
      <c r="D57" s="53">
        <v>0.84855977772421698</v>
      </c>
      <c r="E57" s="6">
        <v>0.81388764739675701</v>
      </c>
      <c r="F57" s="6">
        <v>0.88995917101989896</v>
      </c>
      <c r="G57" s="50" t="str">
        <f t="shared" si="7"/>
        <v>1.06 (1.01, 1.14)</v>
      </c>
      <c r="H57" s="53">
        <v>1.05670103092784</v>
      </c>
      <c r="I57" s="6">
        <v>1.00694444444444</v>
      </c>
      <c r="J57" s="6">
        <v>1.13924050632911</v>
      </c>
      <c r="K57" s="50" t="str">
        <f t="shared" si="8"/>
        <v>0.65 (0.59, 0.72)</v>
      </c>
      <c r="L57" s="53">
        <v>0.65217391304347805</v>
      </c>
      <c r="M57" s="6">
        <v>0.59136212624584705</v>
      </c>
      <c r="N57" s="27">
        <v>0.72123893805309702</v>
      </c>
      <c r="P57" s="6"/>
    </row>
    <row r="58" spans="1:16" x14ac:dyDescent="0.3">
      <c r="A58" s="5" t="s">
        <v>13</v>
      </c>
      <c r="B58" s="6" t="s">
        <v>4</v>
      </c>
      <c r="C58" s="173" t="str">
        <f t="shared" si="6"/>
        <v>-2.24 (-4.86, -0.61)</v>
      </c>
      <c r="D58" s="53">
        <v>-2.2372344891623599</v>
      </c>
      <c r="E58" s="6">
        <v>-4.86015894976528</v>
      </c>
      <c r="F58" s="6">
        <v>-0.60658278685290101</v>
      </c>
      <c r="G58" s="50" t="str">
        <f>"*"&amp;TEXT(H58,"0.00")&amp;" ("&amp;TEXT(I58,"0.00")&amp;", "&amp;TEXT(J58,"0.00")&amp;")"</f>
        <v>*-3.35 (0.00, 0.00)</v>
      </c>
      <c r="H58" s="53">
        <v>-3.3492742672974201</v>
      </c>
      <c r="I58" s="47"/>
      <c r="J58" s="47"/>
      <c r="K58" s="50" t="str">
        <f>"*"&amp;TEXT(L58,"0.00")&amp;" ("&amp;TEXT(M58,"0.00")&amp;", "&amp;TEXT(N58,"0.00")&amp;")"</f>
        <v>*0.16 (0.00, 0.00)</v>
      </c>
      <c r="L58" s="53">
        <v>0.16227604633867901</v>
      </c>
      <c r="M58" s="47"/>
      <c r="N58" s="48"/>
      <c r="P58" s="6"/>
    </row>
    <row r="59" spans="1:16" x14ac:dyDescent="0.3">
      <c r="A59" s="5"/>
      <c r="B59" s="6" t="s">
        <v>5</v>
      </c>
      <c r="C59" s="173" t="str">
        <f t="shared" si="6"/>
        <v>0.90 (0.79, 1.08)</v>
      </c>
      <c r="D59" s="53">
        <v>0.90133057870039701</v>
      </c>
      <c r="E59" s="6">
        <v>0.79262046521310003</v>
      </c>
      <c r="F59" s="6">
        <v>1.07925980614168</v>
      </c>
      <c r="G59" s="50" t="str">
        <f>"*"&amp;TEXT(H59,"0.00")&amp;" ("&amp;TEXT(I59,"0.00")&amp;", "&amp;TEXT(J59,"0.00")&amp;")"</f>
        <v>*0.70 (0.52, 0.95)</v>
      </c>
      <c r="H59" s="53">
        <v>0.700152789099458</v>
      </c>
      <c r="I59" s="6">
        <v>0.51843721993210901</v>
      </c>
      <c r="J59" s="6">
        <v>0.94556083019646198</v>
      </c>
      <c r="K59" s="50" t="str">
        <f>"*"&amp;TEXT(L59,"0.00")&amp;" ("&amp;TEXT(M59,"0.00")&amp;", "&amp;TEXT(N59,"0.00")&amp;")"</f>
        <v>*0.74 (0.62, 0.88)</v>
      </c>
      <c r="L59" s="53">
        <v>0.73658538790984296</v>
      </c>
      <c r="M59" s="6">
        <v>0.61823382581547903</v>
      </c>
      <c r="N59" s="27">
        <v>0.87759357548357197</v>
      </c>
      <c r="P59" s="6"/>
    </row>
    <row r="60" spans="1:16" x14ac:dyDescent="0.3">
      <c r="A60" s="5" t="s">
        <v>14</v>
      </c>
      <c r="B60" s="6" t="s">
        <v>4</v>
      </c>
      <c r="C60" s="172" t="str">
        <f t="shared" si="6"/>
        <v>195.07 (134.84, 236.29)</v>
      </c>
      <c r="D60" s="53">
        <v>195.06571625884601</v>
      </c>
      <c r="E60" s="6">
        <v>134.84404318858799</v>
      </c>
      <c r="F60" s="6">
        <v>236.29104560142801</v>
      </c>
      <c r="G60" s="50" t="str">
        <f t="shared" si="7"/>
        <v>114.13 (42.56, 205.65)</v>
      </c>
      <c r="H60" s="53">
        <v>114.12777777777799</v>
      </c>
      <c r="I60" s="6">
        <v>42.5594713656387</v>
      </c>
      <c r="J60" s="6">
        <v>205.64971751412401</v>
      </c>
      <c r="K60" s="50" t="str">
        <f t="shared" si="8"/>
        <v>315.41 (206.91, 413.46)</v>
      </c>
      <c r="L60" s="53">
        <v>315.40937500000001</v>
      </c>
      <c r="M60" s="53">
        <v>206.90909090909099</v>
      </c>
      <c r="N60" s="27">
        <v>413.45523809523797</v>
      </c>
      <c r="P60" s="6"/>
    </row>
    <row r="61" spans="1:16" x14ac:dyDescent="0.3">
      <c r="A61" s="5"/>
      <c r="B61" s="6" t="s">
        <v>5</v>
      </c>
      <c r="C61" s="174" t="str">
        <f t="shared" si="6"/>
        <v>0.94 (0.92, 0.98)</v>
      </c>
      <c r="D61" s="53">
        <v>0.94093117372799995</v>
      </c>
      <c r="E61" s="6">
        <v>0.91627341849138999</v>
      </c>
      <c r="F61" s="6">
        <v>0.976379447926364</v>
      </c>
      <c r="G61" s="50" t="str">
        <f t="shared" si="7"/>
        <v>1.05 (1.00, 1.09)</v>
      </c>
      <c r="H61" s="53">
        <v>1.05277777777778</v>
      </c>
      <c r="I61" s="6">
        <v>0.99717514124293805</v>
      </c>
      <c r="J61" s="6">
        <v>1.09251101321586</v>
      </c>
      <c r="K61" s="50" t="str">
        <f t="shared" si="8"/>
        <v>0.79 (0.73, 0.85)</v>
      </c>
      <c r="L61" s="53">
        <v>0.78593749999999996</v>
      </c>
      <c r="M61" s="53">
        <v>0.72952380952381002</v>
      </c>
      <c r="N61" s="27">
        <v>0.84848484848484895</v>
      </c>
      <c r="P61" s="6"/>
    </row>
    <row r="62" spans="1:16" x14ac:dyDescent="0.3">
      <c r="A62" s="5" t="s">
        <v>15</v>
      </c>
      <c r="B62" s="6" t="s">
        <v>4</v>
      </c>
      <c r="C62" s="172" t="str">
        <f t="shared" si="6"/>
        <v>-0.69 (-6.74, 0.83)</v>
      </c>
      <c r="D62" s="53">
        <v>-0.68762421181710598</v>
      </c>
      <c r="E62" s="6">
        <v>-6.7433703719793501</v>
      </c>
      <c r="F62" s="6">
        <v>0.83497225720690205</v>
      </c>
      <c r="G62" s="50" t="str">
        <f>"*"&amp;TEXT(H62,"0.00")&amp;" ("&amp;TEXT(I62,"0.00")&amp;", "&amp;TEXT(J62,"0.00")&amp;")"</f>
        <v>*0.12 (0.00, 0.00)</v>
      </c>
      <c r="H62" s="53">
        <v>0.11806943468641</v>
      </c>
      <c r="I62" s="47"/>
      <c r="J62" s="47"/>
      <c r="K62" s="52" t="str">
        <f>"*"&amp;TEXT(L62,"0.00")&amp;" ("&amp;TEXT(M62,"0.00")&amp;", "&amp;TEXT(N62,"0.00")&amp;")"</f>
        <v>*0.86 (0.00, 0.00)</v>
      </c>
      <c r="L62" s="53">
        <v>0.86098804426491604</v>
      </c>
      <c r="M62" s="47"/>
      <c r="N62" s="48"/>
      <c r="P62" s="6"/>
    </row>
    <row r="63" spans="1:16" x14ac:dyDescent="0.3">
      <c r="A63" s="5"/>
      <c r="B63" s="6" t="s">
        <v>5</v>
      </c>
      <c r="C63" s="172" t="str">
        <f t="shared" si="6"/>
        <v>1.10 (0.95, 1.72)</v>
      </c>
      <c r="D63" s="53">
        <v>1.1030422976781999</v>
      </c>
      <c r="E63" s="6">
        <v>0.95078265077580004</v>
      </c>
      <c r="F63" s="6">
        <v>1.7151829494012401</v>
      </c>
      <c r="G63" s="50" t="str">
        <f>"*"&amp;TEXT(H63,"0.00")&amp;" ("&amp;TEXT(I63,"0.00")&amp;", "&amp;TEXT(J63,"0.00")&amp;")"</f>
        <v>*1.12 (0.85, 1.48)</v>
      </c>
      <c r="H63" s="53">
        <v>1.1199273584191001</v>
      </c>
      <c r="I63" s="6">
        <v>0.84927747736408898</v>
      </c>
      <c r="J63" s="6">
        <v>1.4768286238184301</v>
      </c>
      <c r="K63" s="52" t="str">
        <f>"*"&amp;TEXT(L63,"0.00")&amp;" ("&amp;TEXT(M63,"0.00")&amp;", "&amp;TEXT(N63,"0.00")&amp;")"</f>
        <v>*0.97 (0.54, 1.74)</v>
      </c>
      <c r="L63" s="53">
        <v>0.97424460089491005</v>
      </c>
      <c r="M63" s="6">
        <v>0.54408837523509201</v>
      </c>
      <c r="N63" s="27">
        <v>1.7444823039322801</v>
      </c>
      <c r="P63" s="6"/>
    </row>
    <row r="64" spans="1:16" x14ac:dyDescent="0.3">
      <c r="A64" s="5" t="s">
        <v>16</v>
      </c>
      <c r="B64" s="6" t="s">
        <v>4</v>
      </c>
      <c r="C64" s="172" t="str">
        <f t="shared" si="6"/>
        <v>-18.05 (-33.17, -10.44)</v>
      </c>
      <c r="D64" s="53">
        <v>-18.052609825625801</v>
      </c>
      <c r="E64" s="6">
        <v>-33.170487067626901</v>
      </c>
      <c r="F64" s="6">
        <v>-10.436461538625</v>
      </c>
      <c r="G64" s="50" t="str">
        <f t="shared" si="7"/>
        <v>-17.91 (-49.20, -9.55)</v>
      </c>
      <c r="H64" s="53">
        <v>-17.906451612903201</v>
      </c>
      <c r="I64" s="6">
        <v>-49.200000000000102</v>
      </c>
      <c r="J64" s="6">
        <v>-9.5500000000000096</v>
      </c>
      <c r="K64" s="50" t="str">
        <f t="shared" si="8"/>
        <v>-16.57 (-33.83, -7.38)</v>
      </c>
      <c r="L64" s="53">
        <v>-16.573333333333299</v>
      </c>
      <c r="M64" s="53">
        <v>-33.827272727272799</v>
      </c>
      <c r="N64" s="27">
        <v>-7.3779069767441801</v>
      </c>
      <c r="P64" s="6"/>
    </row>
    <row r="65" spans="1:16" x14ac:dyDescent="0.3">
      <c r="A65" s="5"/>
      <c r="B65" s="6" t="s">
        <v>5</v>
      </c>
      <c r="C65" s="172" t="str">
        <f t="shared" si="6"/>
        <v>1.10 (0.88, 1.59)</v>
      </c>
      <c r="D65" s="53">
        <v>1.09827841350397</v>
      </c>
      <c r="E65" s="6">
        <v>0.87800990346544605</v>
      </c>
      <c r="F65" s="6">
        <v>1.5904128706532099</v>
      </c>
      <c r="G65" s="50" t="str">
        <f t="shared" si="7"/>
        <v>1.04 (0.79, 2.00)</v>
      </c>
      <c r="H65" s="53">
        <v>1.04301075268817</v>
      </c>
      <c r="I65" s="6">
        <v>0.78571428571428603</v>
      </c>
      <c r="J65" s="6">
        <v>2</v>
      </c>
      <c r="K65" s="50" t="str">
        <f t="shared" si="8"/>
        <v>0.93 (0.66, 1.48)</v>
      </c>
      <c r="L65" s="53">
        <v>0.93333333333333302</v>
      </c>
      <c r="M65" s="6">
        <v>0.662790697674419</v>
      </c>
      <c r="N65" s="27">
        <v>1.48484848484849</v>
      </c>
      <c r="P65" s="6"/>
    </row>
    <row r="66" spans="1:16" x14ac:dyDescent="0.3">
      <c r="A66" s="5" t="s">
        <v>18</v>
      </c>
      <c r="B66" s="6" t="s">
        <v>4</v>
      </c>
      <c r="C66" s="172" t="str">
        <f t="shared" si="6"/>
        <v>-1.43 (-3.20, -0.07)</v>
      </c>
      <c r="D66" s="53">
        <v>-1.42645598199228</v>
      </c>
      <c r="E66" s="6">
        <v>-3.2035828545075402</v>
      </c>
      <c r="F66" s="6">
        <v>-7.1111778561643801E-2</v>
      </c>
      <c r="G66" s="50" t="str">
        <f t="shared" si="7"/>
        <v>-1.89 (-4.92, -0.04)</v>
      </c>
      <c r="H66" s="53">
        <v>-1.8918918918918901</v>
      </c>
      <c r="I66" s="6">
        <v>-4.9166666666666696</v>
      </c>
      <c r="J66" s="6">
        <v>-4.4117647058822901E-2</v>
      </c>
      <c r="K66" s="50" t="str">
        <f t="shared" si="8"/>
        <v>-1.30 (-3.20, 0.06)</v>
      </c>
      <c r="L66" s="53">
        <v>-1.30212765957447</v>
      </c>
      <c r="M66" s="6">
        <v>-3.2</v>
      </c>
      <c r="N66" s="27">
        <v>6.4705882352941002E-2</v>
      </c>
      <c r="P66" s="6"/>
    </row>
    <row r="67" spans="1:16" x14ac:dyDescent="0.3">
      <c r="A67" s="5"/>
      <c r="B67" s="6" t="s">
        <v>5</v>
      </c>
      <c r="C67" s="172" t="str">
        <f t="shared" si="6"/>
        <v>1.02 (0.86, 1.28)</v>
      </c>
      <c r="D67" s="53">
        <v>1.01780603601515</v>
      </c>
      <c r="E67" s="6">
        <v>0.86333181393015301</v>
      </c>
      <c r="F67" s="6">
        <v>1.27775498006849</v>
      </c>
      <c r="G67" s="50" t="str">
        <f t="shared" si="7"/>
        <v>0.78 (0.56, 1.17)</v>
      </c>
      <c r="H67" s="53">
        <v>0.78378378378378399</v>
      </c>
      <c r="I67" s="6">
        <v>0.55882352941176505</v>
      </c>
      <c r="J67" s="6">
        <v>1.1666666666666701</v>
      </c>
      <c r="K67" s="50" t="str">
        <f t="shared" si="8"/>
        <v>0.72 (0.56, 1.00)</v>
      </c>
      <c r="L67" s="53">
        <v>0.72340425531914898</v>
      </c>
      <c r="M67" s="6">
        <v>0.55882352941176505</v>
      </c>
      <c r="N67" s="27">
        <v>1</v>
      </c>
      <c r="P67" s="6"/>
    </row>
    <row r="68" spans="1:16" x14ac:dyDescent="0.3">
      <c r="A68" s="5" t="s">
        <v>19</v>
      </c>
      <c r="B68" s="6" t="s">
        <v>4</v>
      </c>
      <c r="C68" s="172" t="str">
        <f t="shared" si="6"/>
        <v>-393.60 (-785.29, -178.49)</v>
      </c>
      <c r="D68" s="53">
        <v>-393.597508990682</v>
      </c>
      <c r="E68" s="6">
        <v>-785.291091381304</v>
      </c>
      <c r="F68" s="6">
        <v>-178.49274497711801</v>
      </c>
      <c r="G68" s="50" t="str">
        <f t="shared" si="7"/>
        <v>-500.45 (-1118.25, -185.15)</v>
      </c>
      <c r="H68" s="53">
        <v>-500.44869831546703</v>
      </c>
      <c r="I68" s="6">
        <v>-1118.25207100592</v>
      </c>
      <c r="J68" s="6">
        <v>-185.15213549337301</v>
      </c>
      <c r="K68" s="50" t="str">
        <f t="shared" si="8"/>
        <v>-569.49 (-892.06, -281.75)</v>
      </c>
      <c r="L68" s="53">
        <v>-569.48855421686699</v>
      </c>
      <c r="M68" s="6">
        <v>-892.05797101449195</v>
      </c>
      <c r="N68" s="27">
        <v>-281.746987951807</v>
      </c>
      <c r="P68" s="6"/>
    </row>
    <row r="69" spans="1:16" x14ac:dyDescent="0.3">
      <c r="A69" s="5"/>
      <c r="B69" s="6" t="s">
        <v>5</v>
      </c>
      <c r="C69" s="173" t="str">
        <f t="shared" si="6"/>
        <v>1.33 (0.87, 2.23)</v>
      </c>
      <c r="D69" s="53">
        <v>1.33480178819593</v>
      </c>
      <c r="E69" s="6">
        <v>0.86932627042295996</v>
      </c>
      <c r="F69" s="6">
        <v>2.2288714142574002</v>
      </c>
      <c r="G69" s="50" t="str">
        <f t="shared" si="7"/>
        <v>1.67 (0.99, 3.07)</v>
      </c>
      <c r="H69" s="53">
        <v>1.6707503828483901</v>
      </c>
      <c r="I69" s="6">
        <v>0.98527245949926401</v>
      </c>
      <c r="J69" s="6">
        <v>3.0710059171597699</v>
      </c>
      <c r="K69" s="50" t="str">
        <f t="shared" si="8"/>
        <v>1.64 (1.01, 2.38)</v>
      </c>
      <c r="L69" s="53">
        <v>1.6445783132530101</v>
      </c>
      <c r="M69" s="6">
        <v>1.0147255689424399</v>
      </c>
      <c r="N69" s="27">
        <v>2.3768115942028998</v>
      </c>
      <c r="P69" s="6"/>
    </row>
    <row r="70" spans="1:16" x14ac:dyDescent="0.3">
      <c r="A70" s="5" t="s">
        <v>20</v>
      </c>
      <c r="B70" s="6" t="s">
        <v>4</v>
      </c>
      <c r="C70" s="173" t="str">
        <f t="shared" si="6"/>
        <v>19.96 (-34.36, 65.28)</v>
      </c>
      <c r="D70" s="53">
        <v>19.957041795205999</v>
      </c>
      <c r="E70" s="6">
        <v>-34.357242045117303</v>
      </c>
      <c r="F70" s="6">
        <v>65.283702512612706</v>
      </c>
      <c r="G70" s="50" t="str">
        <f t="shared" si="7"/>
        <v>44.26 (-99.34, 140.83)</v>
      </c>
      <c r="H70" s="53">
        <v>44.260831509846803</v>
      </c>
      <c r="I70" s="6">
        <v>-99.342818428184501</v>
      </c>
      <c r="J70" s="6">
        <v>140.83230403800499</v>
      </c>
      <c r="K70" s="50" t="str">
        <f t="shared" si="8"/>
        <v>28.72 (-6.16, 93.38)</v>
      </c>
      <c r="L70" s="53">
        <v>28.722413793104401</v>
      </c>
      <c r="M70" s="6">
        <v>-6.1645161290303498</v>
      </c>
      <c r="N70" s="27">
        <v>93.3805447470818</v>
      </c>
      <c r="P70" s="6"/>
    </row>
    <row r="71" spans="1:16" x14ac:dyDescent="0.3">
      <c r="A71" s="5"/>
      <c r="B71" s="6" t="s">
        <v>5</v>
      </c>
      <c r="C71" s="173" t="str">
        <f t="shared" si="6"/>
        <v>1.11 (0.89, 1.33)</v>
      </c>
      <c r="D71" s="53">
        <v>1.10788450041355</v>
      </c>
      <c r="E71" s="6">
        <v>0.89257478843176996</v>
      </c>
      <c r="F71" s="6">
        <v>1.3340782523714101</v>
      </c>
      <c r="G71" s="50" t="str">
        <f t="shared" si="7"/>
        <v>0.99 (0.55, 1.62)</v>
      </c>
      <c r="H71" s="53">
        <v>0.98687089715536103</v>
      </c>
      <c r="I71" s="6">
        <v>0.54869358669833801</v>
      </c>
      <c r="J71" s="6">
        <v>1.62330623306233</v>
      </c>
      <c r="K71" s="50" t="str">
        <f t="shared" si="8"/>
        <v>0.98 (0.69, 1.13)</v>
      </c>
      <c r="L71" s="53">
        <v>0.98275862068965103</v>
      </c>
      <c r="M71" s="6">
        <v>0.69455252918287902</v>
      </c>
      <c r="N71" s="27">
        <v>1.12903225806451</v>
      </c>
      <c r="P71" s="6"/>
    </row>
    <row r="72" spans="1:16" x14ac:dyDescent="0.3">
      <c r="A72" s="5" t="s">
        <v>22</v>
      </c>
      <c r="B72" s="6" t="s">
        <v>4</v>
      </c>
      <c r="C72" s="173" t="str">
        <f t="shared" si="6"/>
        <v>0.23 (-0.04, 0.33)</v>
      </c>
      <c r="D72" s="53">
        <v>0.22731520895358501</v>
      </c>
      <c r="E72" s="6">
        <v>-3.7405155748077103E-2</v>
      </c>
      <c r="F72" s="6">
        <v>0.32897860475643698</v>
      </c>
      <c r="G72" s="50" t="str">
        <f t="shared" si="7"/>
        <v>0.26 (-0.16, 0.39)</v>
      </c>
      <c r="H72" s="53">
        <v>0.26362857142857099</v>
      </c>
      <c r="I72" s="6">
        <v>-0.163333333333333</v>
      </c>
      <c r="J72" s="6">
        <v>0.38850000000000001</v>
      </c>
      <c r="K72" s="50" t="str">
        <f t="shared" si="8"/>
        <v>0.36 (0.09, 0.48)</v>
      </c>
      <c r="L72" s="53">
        <v>0.35657843166491798</v>
      </c>
      <c r="M72" s="6">
        <v>8.8120043963010999E-2</v>
      </c>
      <c r="N72" s="27">
        <v>0.48237605860189398</v>
      </c>
      <c r="P72" s="6"/>
    </row>
    <row r="73" spans="1:16" x14ac:dyDescent="0.3">
      <c r="A73" s="5"/>
      <c r="B73" s="6" t="s">
        <v>5</v>
      </c>
      <c r="C73" s="173" t="str">
        <f t="shared" si="6"/>
        <v>1.03 (0.82, 1.52)</v>
      </c>
      <c r="D73" s="53">
        <v>1.02599594514259</v>
      </c>
      <c r="E73" s="6">
        <v>0.81548146825339196</v>
      </c>
      <c r="F73" s="6">
        <v>1.5181439597657</v>
      </c>
      <c r="G73" s="50" t="str">
        <f t="shared" si="7"/>
        <v>0.99 (0.75, 1.83)</v>
      </c>
      <c r="H73" s="53">
        <v>0.99285714285714299</v>
      </c>
      <c r="I73" s="6">
        <v>0.75</v>
      </c>
      <c r="J73" s="6">
        <v>1.8333333333333299</v>
      </c>
      <c r="K73" s="50" t="str">
        <f t="shared" si="8"/>
        <v>0.88 (0.63, 1.39)</v>
      </c>
      <c r="L73" s="53">
        <v>0.88107102824140304</v>
      </c>
      <c r="M73" s="6">
        <v>0.62666148554773105</v>
      </c>
      <c r="N73" s="27">
        <v>1.38960443698115</v>
      </c>
      <c r="P73" s="6"/>
    </row>
    <row r="74" spans="1:16" x14ac:dyDescent="0.3">
      <c r="A74" s="5" t="s">
        <v>21</v>
      </c>
      <c r="B74" s="6" t="s">
        <v>4</v>
      </c>
      <c r="C74" s="173" t="str">
        <f t="shared" si="6"/>
        <v>0.15 (-0.04, 0.24)</v>
      </c>
      <c r="D74" s="53">
        <v>0.151458771824972</v>
      </c>
      <c r="E74" s="53">
        <v>-4.3464667082645701E-2</v>
      </c>
      <c r="F74" s="53">
        <v>0.24239228548284</v>
      </c>
      <c r="G74" s="50" t="str">
        <f t="shared" si="7"/>
        <v>0.28 (0.06, 0.45)</v>
      </c>
      <c r="H74" s="53">
        <v>0.27673248407643303</v>
      </c>
      <c r="I74" s="6">
        <v>5.5736842105264202E-2</v>
      </c>
      <c r="J74" s="53">
        <v>0.44575838926174499</v>
      </c>
      <c r="K74" s="50" t="str">
        <f t="shared" si="8"/>
        <v>0.29 (0.06, 0.40)</v>
      </c>
      <c r="L74" s="53">
        <v>0.29070810810810799</v>
      </c>
      <c r="M74" s="6">
        <v>6.2544303797468198E-2</v>
      </c>
      <c r="N74" s="27">
        <v>0.39514728682170602</v>
      </c>
      <c r="P74" s="6"/>
    </row>
    <row r="75" spans="1:16" ht="15" thickBot="1" x14ac:dyDescent="0.35">
      <c r="A75" s="9"/>
      <c r="B75" s="10" t="s">
        <v>5</v>
      </c>
      <c r="C75" s="175" t="str">
        <f t="shared" si="6"/>
        <v>0.89 (0.76, 1.15)</v>
      </c>
      <c r="D75" s="92">
        <v>0.89393052976020604</v>
      </c>
      <c r="E75" s="10">
        <v>0.75967425596078697</v>
      </c>
      <c r="F75" s="10">
        <v>1.15268360400853</v>
      </c>
      <c r="G75" s="51" t="str">
        <f t="shared" si="7"/>
        <v>0.80 (0.56, 1.11)</v>
      </c>
      <c r="H75" s="92">
        <v>0.79617834394904397</v>
      </c>
      <c r="I75" s="10">
        <v>0.55704697986577201</v>
      </c>
      <c r="J75" s="10">
        <v>1.1052631578947401</v>
      </c>
      <c r="K75" s="51" t="str">
        <f t="shared" si="8"/>
        <v>0.76 (0.61, 1.06)</v>
      </c>
      <c r="L75" s="92">
        <v>0.76216216216216204</v>
      </c>
      <c r="M75" s="10">
        <v>0.612403100775194</v>
      </c>
      <c r="N75" s="28">
        <v>1.06329113924051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3BA40-65DB-4199-9766-353EE03F4395}">
  <dimension ref="A1:DF55"/>
  <sheetViews>
    <sheetView topLeftCell="CF46" zoomScale="70" zoomScaleNormal="70" workbookViewId="0">
      <selection activeCell="DF56" sqref="DF56"/>
    </sheetView>
  </sheetViews>
  <sheetFormatPr defaultRowHeight="14.4" x14ac:dyDescent="0.3"/>
  <sheetData>
    <row r="1" spans="1:110" x14ac:dyDescent="0.3">
      <c r="A1" t="s">
        <v>2</v>
      </c>
    </row>
    <row r="2" spans="1:110" x14ac:dyDescent="0.3">
      <c r="B2" t="s">
        <v>142</v>
      </c>
      <c r="L2" t="s">
        <v>104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27" spans="1:110" x14ac:dyDescent="0.3">
      <c r="A27" t="s">
        <v>28</v>
      </c>
    </row>
    <row r="28" spans="1:110" x14ac:dyDescent="0.3">
      <c r="B28" t="s">
        <v>142</v>
      </c>
      <c r="L28" t="s">
        <v>104</v>
      </c>
      <c r="V28" t="s">
        <v>10</v>
      </c>
      <c r="AF28" t="s">
        <v>12</v>
      </c>
      <c r="AP28" t="s">
        <v>14</v>
      </c>
      <c r="AZ28" t="s">
        <v>15</v>
      </c>
      <c r="BI28" t="s">
        <v>16</v>
      </c>
      <c r="BS28" t="s">
        <v>17</v>
      </c>
      <c r="CB28" t="s">
        <v>19</v>
      </c>
      <c r="CL28" t="s">
        <v>20</v>
      </c>
      <c r="CV28" t="s">
        <v>22</v>
      </c>
      <c r="DF28" t="s">
        <v>21</v>
      </c>
    </row>
    <row r="54" spans="1:110" x14ac:dyDescent="0.3">
      <c r="A54" t="s">
        <v>6</v>
      </c>
    </row>
    <row r="55" spans="1:110" x14ac:dyDescent="0.3">
      <c r="B55" t="s">
        <v>142</v>
      </c>
      <c r="L55" t="s">
        <v>104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C0D47-9537-4D62-807A-3D33E71FEDAF}">
  <dimension ref="A1:DF55"/>
  <sheetViews>
    <sheetView topLeftCell="CG40" zoomScale="60" zoomScaleNormal="60" workbookViewId="0">
      <selection activeCell="DF56" sqref="DF56"/>
    </sheetView>
  </sheetViews>
  <sheetFormatPr defaultRowHeight="14.4" x14ac:dyDescent="0.3"/>
  <sheetData>
    <row r="1" spans="1:110" x14ac:dyDescent="0.3">
      <c r="A1" t="s">
        <v>3</v>
      </c>
    </row>
    <row r="2" spans="1:110" x14ac:dyDescent="0.3">
      <c r="B2" t="s">
        <v>142</v>
      </c>
      <c r="L2" t="s">
        <v>104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27" spans="1:110" x14ac:dyDescent="0.3">
      <c r="A27" t="s">
        <v>8</v>
      </c>
    </row>
    <row r="28" spans="1:110" x14ac:dyDescent="0.3">
      <c r="B28" t="s">
        <v>142</v>
      </c>
      <c r="L28" t="s">
        <v>104</v>
      </c>
      <c r="V28" t="s">
        <v>10</v>
      </c>
      <c r="AF28" t="s">
        <v>12</v>
      </c>
      <c r="AP28" t="s">
        <v>14</v>
      </c>
      <c r="AZ28" t="s">
        <v>15</v>
      </c>
      <c r="BI28" t="s">
        <v>16</v>
      </c>
      <c r="BS28" t="s">
        <v>17</v>
      </c>
      <c r="CB28" t="s">
        <v>19</v>
      </c>
      <c r="CL28" t="s">
        <v>20</v>
      </c>
      <c r="CV28" t="s">
        <v>22</v>
      </c>
      <c r="DF28" t="s">
        <v>21</v>
      </c>
    </row>
    <row r="54" spans="1:110" x14ac:dyDescent="0.3">
      <c r="A54" t="s">
        <v>7</v>
      </c>
    </row>
    <row r="55" spans="1:110" x14ac:dyDescent="0.3">
      <c r="B55" t="s">
        <v>142</v>
      </c>
      <c r="L55" t="s">
        <v>104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007EE-904C-48F6-A28A-9F63DA5F1E31}">
  <dimension ref="A1:DF55"/>
  <sheetViews>
    <sheetView zoomScale="60" zoomScaleNormal="60" workbookViewId="0">
      <selection activeCell="U28" sqref="U28"/>
    </sheetView>
  </sheetViews>
  <sheetFormatPr defaultRowHeight="14.4" x14ac:dyDescent="0.3"/>
  <sheetData>
    <row r="1" spans="1:110" x14ac:dyDescent="0.3">
      <c r="A1" t="s">
        <v>0</v>
      </c>
    </row>
    <row r="2" spans="1:110" x14ac:dyDescent="0.3">
      <c r="B2" t="s">
        <v>142</v>
      </c>
      <c r="L2" t="s">
        <v>104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27" spans="1:110" x14ac:dyDescent="0.3">
      <c r="A27" t="s">
        <v>23</v>
      </c>
    </row>
    <row r="28" spans="1:110" x14ac:dyDescent="0.3">
      <c r="B28" t="s">
        <v>142</v>
      </c>
      <c r="L28" t="s">
        <v>104</v>
      </c>
      <c r="V28" t="s">
        <v>10</v>
      </c>
      <c r="AF28" t="s">
        <v>12</v>
      </c>
      <c r="AP28" t="s">
        <v>14</v>
      </c>
      <c r="AZ28" t="s">
        <v>15</v>
      </c>
      <c r="BI28" t="s">
        <v>16</v>
      </c>
      <c r="BS28" t="s">
        <v>17</v>
      </c>
      <c r="CB28" t="s">
        <v>19</v>
      </c>
      <c r="CL28" t="s">
        <v>20</v>
      </c>
      <c r="CV28" t="s">
        <v>22</v>
      </c>
      <c r="DF28" t="s">
        <v>21</v>
      </c>
    </row>
    <row r="54" spans="1:110" x14ac:dyDescent="0.3">
      <c r="A54" t="s">
        <v>9</v>
      </c>
    </row>
    <row r="55" spans="1:110" x14ac:dyDescent="0.3">
      <c r="B55" t="s">
        <v>142</v>
      </c>
      <c r="L55" t="s">
        <v>104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805E0-7DA7-43C7-A974-58154308F6BD}">
  <dimension ref="A1:K21"/>
  <sheetViews>
    <sheetView zoomScale="90" zoomScaleNormal="90" workbookViewId="0">
      <selection activeCell="L19" sqref="L19"/>
    </sheetView>
  </sheetViews>
  <sheetFormatPr defaultRowHeight="14.4" x14ac:dyDescent="0.3"/>
  <cols>
    <col min="1" max="1" width="9.5546875" customWidth="1"/>
    <col min="2" max="2" width="16.109375" bestFit="1" customWidth="1"/>
    <col min="5" max="5" width="19.5546875" customWidth="1"/>
    <col min="6" max="6" width="19.6640625" customWidth="1"/>
    <col min="7" max="7" width="11.21875" customWidth="1"/>
    <col min="8" max="8" width="8.88671875" customWidth="1"/>
    <col min="9" max="9" width="15" customWidth="1"/>
    <col min="10" max="10" width="10" customWidth="1"/>
  </cols>
  <sheetData>
    <row r="1" spans="1:11" ht="72" x14ac:dyDescent="0.3">
      <c r="A1" s="211" t="s">
        <v>107</v>
      </c>
      <c r="B1" s="211" t="s">
        <v>108</v>
      </c>
      <c r="C1" s="211" t="s">
        <v>132</v>
      </c>
      <c r="D1" s="211" t="s">
        <v>20</v>
      </c>
      <c r="E1" s="211" t="s">
        <v>133</v>
      </c>
      <c r="F1" s="211" t="s">
        <v>134</v>
      </c>
      <c r="G1" s="211" t="s">
        <v>135</v>
      </c>
      <c r="H1" s="211" t="s">
        <v>136</v>
      </c>
      <c r="I1" s="211" t="s">
        <v>137</v>
      </c>
      <c r="J1" s="211" t="s">
        <v>138</v>
      </c>
      <c r="K1" s="211" t="s">
        <v>139</v>
      </c>
    </row>
    <row r="2" spans="1:11" x14ac:dyDescent="0.3">
      <c r="A2" t="s">
        <v>111</v>
      </c>
      <c r="B2" t="s">
        <v>143</v>
      </c>
      <c r="C2" s="35">
        <v>1333.1469509812</v>
      </c>
      <c r="D2" s="212">
        <v>215.30925287847001</v>
      </c>
      <c r="F2" s="31"/>
      <c r="G2" s="31"/>
      <c r="H2" s="31"/>
      <c r="I2" s="31"/>
      <c r="J2" s="31"/>
      <c r="K2" t="s">
        <v>113</v>
      </c>
    </row>
    <row r="3" spans="1:11" x14ac:dyDescent="0.3">
      <c r="A3" t="s">
        <v>111</v>
      </c>
      <c r="B3" t="s">
        <v>144</v>
      </c>
      <c r="C3" s="35">
        <v>1389.0420102203</v>
      </c>
      <c r="D3" s="212">
        <v>231.31954151897</v>
      </c>
      <c r="F3" s="31">
        <f>(C3-C2)/(D3-D2)</f>
        <v>3.4911962235150802</v>
      </c>
      <c r="G3" s="31">
        <f>1/F3</f>
        <v>0.28643477363559899</v>
      </c>
      <c r="H3" s="31"/>
      <c r="I3" s="31"/>
      <c r="J3" s="31"/>
      <c r="K3" t="s">
        <v>113</v>
      </c>
    </row>
    <row r="4" spans="1:11" x14ac:dyDescent="0.3">
      <c r="A4" t="s">
        <v>111</v>
      </c>
      <c r="B4" t="s">
        <v>145</v>
      </c>
      <c r="C4" s="35">
        <v>1420.4620421095001</v>
      </c>
      <c r="D4" s="212">
        <v>219.97987637380999</v>
      </c>
      <c r="E4" t="s">
        <v>140</v>
      </c>
      <c r="F4" s="31"/>
      <c r="G4" s="31"/>
      <c r="H4" s="31"/>
      <c r="I4" s="31"/>
      <c r="J4" s="31"/>
      <c r="K4" t="s">
        <v>117</v>
      </c>
    </row>
    <row r="5" spans="1:11" x14ac:dyDescent="0.3">
      <c r="A5" t="s">
        <v>111</v>
      </c>
      <c r="B5" t="s">
        <v>146</v>
      </c>
      <c r="C5" s="35">
        <v>1519.6833723159</v>
      </c>
      <c r="D5" s="212">
        <v>241.11912983030999</v>
      </c>
      <c r="F5" s="31" t="s">
        <v>141</v>
      </c>
      <c r="G5" s="31"/>
      <c r="H5" s="31">
        <f>G6*(C5-C6)+D6</f>
        <v>247.17683184295808</v>
      </c>
      <c r="I5" s="213">
        <f>D5/H5</f>
        <v>0.97549243605283842</v>
      </c>
      <c r="J5" s="31"/>
      <c r="K5" t="s">
        <v>117</v>
      </c>
    </row>
    <row r="6" spans="1:11" x14ac:dyDescent="0.3">
      <c r="A6" t="s">
        <v>111</v>
      </c>
      <c r="B6" t="s">
        <v>147</v>
      </c>
      <c r="C6" s="35">
        <v>1585.7619910287999</v>
      </c>
      <c r="D6" s="212">
        <v>255.19747572121</v>
      </c>
      <c r="F6" s="31">
        <f>(C6-C3)/(D6-D3)</f>
        <v>8.2385678401796394</v>
      </c>
      <c r="G6" s="31">
        <f>1/F6</f>
        <v>0.12138031990499398</v>
      </c>
      <c r="H6" s="57"/>
      <c r="I6" s="213"/>
      <c r="J6" s="31"/>
      <c r="K6" t="s">
        <v>113</v>
      </c>
    </row>
    <row r="7" spans="1:11" x14ac:dyDescent="0.3">
      <c r="A7" t="s">
        <v>111</v>
      </c>
      <c r="B7" t="s">
        <v>148</v>
      </c>
      <c r="C7" s="35">
        <v>1615.1995454442001</v>
      </c>
      <c r="D7" s="212">
        <v>237.12768231247</v>
      </c>
      <c r="E7" t="s">
        <v>140</v>
      </c>
      <c r="F7" s="31"/>
      <c r="G7" s="31"/>
      <c r="H7" s="31"/>
      <c r="I7" s="31"/>
      <c r="J7" s="31"/>
      <c r="K7" t="s">
        <v>117</v>
      </c>
    </row>
    <row r="8" spans="1:11" x14ac:dyDescent="0.3">
      <c r="A8" t="s">
        <v>111</v>
      </c>
      <c r="B8" t="s">
        <v>149</v>
      </c>
      <c r="C8" s="35">
        <v>1671.7209631288999</v>
      </c>
      <c r="D8" s="212">
        <v>259.57910709304002</v>
      </c>
      <c r="F8" s="31" t="s">
        <v>141</v>
      </c>
      <c r="G8" s="31"/>
      <c r="H8" s="31">
        <f>G14*(C8-C14)+D14</f>
        <v>261.50762795378898</v>
      </c>
      <c r="I8" s="213">
        <f>D8/H8</f>
        <v>0.99262537435011355</v>
      </c>
      <c r="J8" s="31">
        <f>(C8-C6)/(D8-D6)</f>
        <v>19.61802917806811</v>
      </c>
      <c r="K8" t="s">
        <v>112</v>
      </c>
    </row>
    <row r="9" spans="1:11" x14ac:dyDescent="0.3">
      <c r="A9" t="s">
        <v>111</v>
      </c>
      <c r="B9" t="s">
        <v>150</v>
      </c>
      <c r="C9" s="35">
        <v>1700.4959683507</v>
      </c>
      <c r="D9" s="212">
        <v>242.11316256433</v>
      </c>
      <c r="E9" t="s">
        <v>140</v>
      </c>
      <c r="F9" s="31"/>
      <c r="G9" s="31"/>
      <c r="H9" s="31"/>
      <c r="I9" s="213"/>
      <c r="J9" s="31"/>
      <c r="K9" t="s">
        <v>117</v>
      </c>
    </row>
    <row r="10" spans="1:11" x14ac:dyDescent="0.3">
      <c r="A10" t="s">
        <v>111</v>
      </c>
      <c r="B10" t="s">
        <v>151</v>
      </c>
      <c r="C10" s="35">
        <v>1755.5746677172001</v>
      </c>
      <c r="D10" s="212">
        <v>244.01748197769999</v>
      </c>
      <c r="E10" t="s">
        <v>140</v>
      </c>
      <c r="F10" s="31"/>
      <c r="G10" s="31"/>
      <c r="H10" s="31"/>
      <c r="I10" s="31"/>
      <c r="J10" s="31"/>
      <c r="K10" t="s">
        <v>117</v>
      </c>
    </row>
    <row r="11" spans="1:11" x14ac:dyDescent="0.3">
      <c r="A11" t="s">
        <v>111</v>
      </c>
      <c r="B11" t="s">
        <v>152</v>
      </c>
      <c r="C11" s="35">
        <v>1816.9471966647</v>
      </c>
      <c r="D11" s="212">
        <v>264.87638823192998</v>
      </c>
      <c r="F11" s="31" t="s">
        <v>141</v>
      </c>
      <c r="G11" s="31"/>
      <c r="H11" s="31">
        <f>G14*(C11-C14)+D14</f>
        <v>272.16852372052534</v>
      </c>
      <c r="I11" s="213">
        <f>D11/H11</f>
        <v>0.97320727838431731</v>
      </c>
      <c r="J11" s="31"/>
      <c r="K11" t="s">
        <v>117</v>
      </c>
    </row>
    <row r="12" spans="1:11" x14ac:dyDescent="0.3">
      <c r="A12" t="s">
        <v>111</v>
      </c>
      <c r="B12" t="s">
        <v>153</v>
      </c>
      <c r="C12" s="35">
        <v>1901.5055868175</v>
      </c>
      <c r="D12" s="212">
        <v>270.66516133075999</v>
      </c>
      <c r="F12" s="31" t="s">
        <v>141</v>
      </c>
      <c r="G12" s="31"/>
      <c r="H12" s="31">
        <f>G14*(C12-C14)+D14</f>
        <v>278.37586079506156</v>
      </c>
      <c r="I12" s="213">
        <f>D12/H12</f>
        <v>0.97230112035476335</v>
      </c>
      <c r="J12" s="31"/>
      <c r="K12" t="s">
        <v>117</v>
      </c>
    </row>
    <row r="13" spans="1:11" x14ac:dyDescent="0.3">
      <c r="A13" t="s">
        <v>111</v>
      </c>
      <c r="B13" t="s">
        <v>154</v>
      </c>
      <c r="C13" s="35">
        <v>1954.8153341233001</v>
      </c>
      <c r="D13" s="212">
        <v>271.59464108089998</v>
      </c>
      <c r="F13" s="31" t="s">
        <v>141</v>
      </c>
      <c r="G13" s="31"/>
      <c r="H13" s="31">
        <f>G14*(C13-C14)+D14</f>
        <v>282.28926986407862</v>
      </c>
      <c r="I13" s="213">
        <f>D13/H13</f>
        <v>0.96211464648185863</v>
      </c>
      <c r="J13" s="31"/>
      <c r="K13" t="s">
        <v>117</v>
      </c>
    </row>
    <row r="14" spans="1:11" x14ac:dyDescent="0.3">
      <c r="A14" t="s">
        <v>111</v>
      </c>
      <c r="B14" t="s">
        <v>155</v>
      </c>
      <c r="C14" s="35">
        <v>1991.2379614061999</v>
      </c>
      <c r="D14" s="212">
        <v>284.96301429413001</v>
      </c>
      <c r="F14" s="31">
        <f>(C14-C6)/(D14-D6)</f>
        <v>13.622329372070983</v>
      </c>
      <c r="G14" s="31">
        <f>1/F14</f>
        <v>7.3408884243412728E-2</v>
      </c>
      <c r="H14" s="31"/>
      <c r="I14" s="31"/>
      <c r="J14" s="31"/>
      <c r="K14" t="s">
        <v>113</v>
      </c>
    </row>
    <row r="15" spans="1:11" x14ac:dyDescent="0.3">
      <c r="A15" t="s">
        <v>111</v>
      </c>
      <c r="B15" t="s">
        <v>156</v>
      </c>
      <c r="C15" s="35">
        <v>2075.7821337650998</v>
      </c>
      <c r="D15" s="212">
        <v>289.50955640337003</v>
      </c>
      <c r="F15" s="31">
        <f>(C15-C14)/(D15-D14)</f>
        <v>18.595268739968166</v>
      </c>
      <c r="G15" s="31">
        <f>1/F15</f>
        <v>5.3777120082735191E-2</v>
      </c>
      <c r="H15" s="31"/>
      <c r="I15" s="31"/>
      <c r="J15" s="31"/>
      <c r="K15" t="s">
        <v>113</v>
      </c>
    </row>
    <row r="16" spans="1:11" x14ac:dyDescent="0.3">
      <c r="A16" t="s">
        <v>111</v>
      </c>
      <c r="B16" t="s">
        <v>157</v>
      </c>
      <c r="C16" s="35">
        <v>2130.1140111964</v>
      </c>
      <c r="D16" s="212">
        <v>291.65265393772</v>
      </c>
      <c r="F16" s="31">
        <f>(C16-C15)/(D16-D15)</f>
        <v>25.35203207528285</v>
      </c>
      <c r="G16" s="31">
        <f>1/F16</f>
        <v>3.94445698487009E-2</v>
      </c>
      <c r="H16" s="31"/>
      <c r="I16" s="31"/>
      <c r="J16" s="31"/>
      <c r="K16" t="s">
        <v>113</v>
      </c>
    </row>
    <row r="17" spans="3:10" x14ac:dyDescent="0.3">
      <c r="C17" s="35"/>
      <c r="D17" s="212"/>
      <c r="F17" s="31"/>
      <c r="G17" s="31"/>
      <c r="H17" s="31"/>
      <c r="I17" s="31"/>
      <c r="J17" s="31"/>
    </row>
    <row r="18" spans="3:10" x14ac:dyDescent="0.3">
      <c r="C18" s="35"/>
      <c r="D18" s="212"/>
      <c r="F18" s="31"/>
      <c r="G18" s="31"/>
      <c r="H18" s="31"/>
      <c r="I18" s="31"/>
      <c r="J18" s="31"/>
    </row>
    <row r="19" spans="3:10" x14ac:dyDescent="0.3">
      <c r="C19" s="35"/>
      <c r="D19" s="212"/>
      <c r="F19" s="31"/>
      <c r="G19" s="31"/>
      <c r="H19" s="31"/>
      <c r="I19" s="213"/>
      <c r="J19" s="57"/>
    </row>
    <row r="20" spans="3:10" x14ac:dyDescent="0.3">
      <c r="C20" s="35"/>
      <c r="D20" s="212"/>
      <c r="F20" s="31"/>
      <c r="G20" s="31"/>
      <c r="H20" s="31"/>
      <c r="I20" s="31"/>
      <c r="J20" s="31"/>
    </row>
    <row r="21" spans="3:10" x14ac:dyDescent="0.3">
      <c r="C21" s="35"/>
      <c r="D21" s="212"/>
      <c r="F21" s="31"/>
      <c r="G21" s="31"/>
      <c r="H21" s="31"/>
      <c r="I21" s="31"/>
      <c r="J21" s="3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0CBC6-C236-4166-B0D2-CC2A22E03746}">
  <dimension ref="A1:K21"/>
  <sheetViews>
    <sheetView zoomScale="90" zoomScaleNormal="90" workbookViewId="0">
      <selection sqref="A1:K16"/>
    </sheetView>
  </sheetViews>
  <sheetFormatPr defaultRowHeight="14.4" x14ac:dyDescent="0.3"/>
  <cols>
    <col min="2" max="2" width="16.5546875" customWidth="1"/>
    <col min="3" max="3" width="7.21875" customWidth="1"/>
    <col min="4" max="4" width="8.21875" customWidth="1"/>
    <col min="5" max="5" width="21.77734375" customWidth="1"/>
    <col min="6" max="6" width="17.21875" customWidth="1"/>
    <col min="7" max="7" width="13.5546875" customWidth="1"/>
    <col min="8" max="8" width="12.6640625" customWidth="1"/>
    <col min="9" max="9" width="18.77734375" customWidth="1"/>
  </cols>
  <sheetData>
    <row r="1" spans="1:11" ht="59.4" customHeight="1" x14ac:dyDescent="0.3">
      <c r="A1" s="211" t="s">
        <v>107</v>
      </c>
      <c r="B1" s="211" t="s">
        <v>108</v>
      </c>
      <c r="C1" s="211" t="s">
        <v>132</v>
      </c>
      <c r="D1" s="211" t="s">
        <v>20</v>
      </c>
      <c r="E1" s="211" t="s">
        <v>133</v>
      </c>
      <c r="F1" s="211" t="s">
        <v>134</v>
      </c>
      <c r="G1" s="211" t="s">
        <v>135</v>
      </c>
      <c r="H1" s="211" t="s">
        <v>136</v>
      </c>
      <c r="I1" s="211" t="s">
        <v>137</v>
      </c>
      <c r="J1" s="211" t="s">
        <v>138</v>
      </c>
      <c r="K1" s="211" t="s">
        <v>139</v>
      </c>
    </row>
    <row r="2" spans="1:11" x14ac:dyDescent="0.3">
      <c r="A2" t="s">
        <v>105</v>
      </c>
      <c r="B2" t="s">
        <v>143</v>
      </c>
      <c r="C2">
        <v>1265</v>
      </c>
      <c r="D2" s="215">
        <v>208.8</v>
      </c>
      <c r="E2" s="31"/>
      <c r="F2" s="31"/>
      <c r="G2" s="31"/>
      <c r="J2" s="31"/>
      <c r="K2" s="31" t="s">
        <v>113</v>
      </c>
    </row>
    <row r="3" spans="1:11" x14ac:dyDescent="0.3">
      <c r="A3" t="s">
        <v>105</v>
      </c>
      <c r="B3" t="s">
        <v>144</v>
      </c>
      <c r="C3">
        <v>1304</v>
      </c>
      <c r="D3">
        <v>224.1</v>
      </c>
      <c r="E3" s="31"/>
      <c r="F3" s="31">
        <f>(C3-C2)/(D3-D2)</f>
        <v>2.5490196078431402</v>
      </c>
      <c r="G3" s="31">
        <f>1/F3</f>
        <v>0.39230769230769186</v>
      </c>
      <c r="J3" s="31"/>
      <c r="K3" s="31" t="s">
        <v>113</v>
      </c>
    </row>
    <row r="4" spans="1:11" x14ac:dyDescent="0.3">
      <c r="A4" t="s">
        <v>105</v>
      </c>
      <c r="B4" t="s">
        <v>145</v>
      </c>
      <c r="C4">
        <v>1356</v>
      </c>
      <c r="D4">
        <v>212.3</v>
      </c>
      <c r="E4" s="31" t="s">
        <v>140</v>
      </c>
      <c r="F4" s="31"/>
      <c r="G4" s="31"/>
      <c r="J4" s="31"/>
      <c r="K4" s="31" t="s">
        <v>117</v>
      </c>
    </row>
    <row r="5" spans="1:11" x14ac:dyDescent="0.3">
      <c r="A5" t="s">
        <v>105</v>
      </c>
      <c r="B5" t="s">
        <v>146</v>
      </c>
      <c r="C5">
        <v>1442</v>
      </c>
      <c r="D5">
        <v>233.7</v>
      </c>
      <c r="E5" s="31"/>
      <c r="F5" s="31" t="s">
        <v>141</v>
      </c>
      <c r="G5" s="31"/>
      <c r="H5" s="57">
        <f>G7*(C5-C7)+D7</f>
        <v>238.875</v>
      </c>
      <c r="I5" s="213">
        <f>D5/H5</f>
        <v>0.9783359497645211</v>
      </c>
      <c r="J5" s="31"/>
      <c r="K5" s="31" t="s">
        <v>117</v>
      </c>
    </row>
    <row r="6" spans="1:11" x14ac:dyDescent="0.3">
      <c r="A6" t="s">
        <v>105</v>
      </c>
      <c r="B6" t="s">
        <v>148</v>
      </c>
      <c r="C6">
        <v>1475</v>
      </c>
      <c r="D6">
        <v>223.9</v>
      </c>
      <c r="E6" s="31" t="s">
        <v>140</v>
      </c>
      <c r="F6" s="31"/>
      <c r="G6" s="31"/>
      <c r="H6" s="57"/>
      <c r="I6" s="213"/>
      <c r="J6" s="31"/>
      <c r="K6" s="31" t="s">
        <v>117</v>
      </c>
    </row>
    <row r="7" spans="1:11" x14ac:dyDescent="0.3">
      <c r="A7" t="s">
        <v>105</v>
      </c>
      <c r="B7" t="s">
        <v>147</v>
      </c>
      <c r="C7">
        <v>1488</v>
      </c>
      <c r="D7">
        <v>243.8</v>
      </c>
      <c r="E7" s="31"/>
      <c r="F7" s="31">
        <f>(C7-C3)/(D7-D3)</f>
        <v>9.3401015228426321</v>
      </c>
      <c r="G7" s="31">
        <f>1/F7</f>
        <v>0.10706521739130444</v>
      </c>
      <c r="H7" s="214"/>
      <c r="J7" s="31"/>
      <c r="K7" s="31" t="s">
        <v>113</v>
      </c>
    </row>
    <row r="8" spans="1:11" x14ac:dyDescent="0.3">
      <c r="A8" t="s">
        <v>105</v>
      </c>
      <c r="B8" t="s">
        <v>150</v>
      </c>
      <c r="C8">
        <v>1560</v>
      </c>
      <c r="D8">
        <v>228.2</v>
      </c>
      <c r="E8" s="31" t="s">
        <v>140</v>
      </c>
      <c r="F8" s="31"/>
      <c r="G8" s="31"/>
      <c r="H8" s="214"/>
      <c r="I8" s="213"/>
      <c r="J8" s="31"/>
      <c r="K8" s="31" t="s">
        <v>117</v>
      </c>
    </row>
    <row r="9" spans="1:11" x14ac:dyDescent="0.3">
      <c r="A9" t="s">
        <v>105</v>
      </c>
      <c r="B9" t="s">
        <v>149</v>
      </c>
      <c r="C9">
        <v>1579</v>
      </c>
      <c r="D9">
        <v>247.3</v>
      </c>
      <c r="E9" s="31"/>
      <c r="F9" s="31" t="s">
        <v>141</v>
      </c>
      <c r="G9" s="31"/>
      <c r="H9" s="57">
        <f>G14*(C9-C14)+D14</f>
        <v>249.53385579937304</v>
      </c>
      <c r="I9" s="213">
        <f>D9/H9</f>
        <v>0.9910478848963522</v>
      </c>
      <c r="J9" s="212">
        <f>(C9-C7)/(D9-D7)</f>
        <v>26</v>
      </c>
      <c r="K9" s="31" t="s">
        <v>112</v>
      </c>
    </row>
    <row r="10" spans="1:11" x14ac:dyDescent="0.3">
      <c r="A10" t="s">
        <v>105</v>
      </c>
      <c r="B10" t="s">
        <v>151</v>
      </c>
      <c r="C10">
        <v>1616</v>
      </c>
      <c r="D10">
        <v>229.8</v>
      </c>
      <c r="E10" s="31" t="s">
        <v>140</v>
      </c>
      <c r="F10" s="31"/>
      <c r="G10" s="31"/>
      <c r="J10" s="31"/>
      <c r="K10" s="31" t="s">
        <v>117</v>
      </c>
    </row>
    <row r="11" spans="1:11" x14ac:dyDescent="0.3">
      <c r="A11" t="s">
        <v>105</v>
      </c>
      <c r="B11" t="s">
        <v>152</v>
      </c>
      <c r="C11">
        <v>1654</v>
      </c>
      <c r="D11">
        <v>248.4</v>
      </c>
      <c r="E11" s="31"/>
      <c r="F11" s="31" t="s">
        <v>141</v>
      </c>
      <c r="G11" s="31"/>
      <c r="H11" s="57">
        <f>G14*(C11-C14)+D14</f>
        <v>254.25956112852663</v>
      </c>
      <c r="I11" s="213">
        <f>D11/H11</f>
        <v>0.97695441185173504</v>
      </c>
      <c r="J11" s="31"/>
      <c r="K11" s="31" t="s">
        <v>117</v>
      </c>
    </row>
    <row r="12" spans="1:11" x14ac:dyDescent="0.3">
      <c r="A12" t="s">
        <v>105</v>
      </c>
      <c r="B12" t="s">
        <v>153</v>
      </c>
      <c r="C12">
        <v>1739</v>
      </c>
      <c r="D12">
        <v>252.2</v>
      </c>
      <c r="E12" s="31"/>
      <c r="F12" s="31" t="s">
        <v>141</v>
      </c>
      <c r="G12" s="31"/>
      <c r="H12" s="57">
        <f>G14*(C12-C14)+D14</f>
        <v>259.61536050156741</v>
      </c>
      <c r="I12" s="213">
        <f>D12/H12</f>
        <v>0.97143712726688736</v>
      </c>
      <c r="J12" s="31"/>
      <c r="K12" s="31" t="s">
        <v>117</v>
      </c>
    </row>
    <row r="13" spans="1:11" x14ac:dyDescent="0.3">
      <c r="A13" t="s">
        <v>105</v>
      </c>
      <c r="B13" t="s">
        <v>154</v>
      </c>
      <c r="C13">
        <v>1795</v>
      </c>
      <c r="D13">
        <v>254.1</v>
      </c>
      <c r="E13" s="31"/>
      <c r="F13" s="31" t="s">
        <v>141</v>
      </c>
      <c r="G13" s="31"/>
      <c r="H13" s="57">
        <f>G14*(C13-C14)+D14</f>
        <v>263.14388714733542</v>
      </c>
      <c r="I13" s="213">
        <f>D13/H13</f>
        <v>0.96563139943938081</v>
      </c>
      <c r="J13" s="31"/>
      <c r="K13" s="31" t="s">
        <v>117</v>
      </c>
    </row>
    <row r="14" spans="1:11" x14ac:dyDescent="0.3">
      <c r="A14" t="s">
        <v>105</v>
      </c>
      <c r="B14" t="s">
        <v>155</v>
      </c>
      <c r="C14">
        <v>1807</v>
      </c>
      <c r="D14">
        <v>263.89999999999998</v>
      </c>
      <c r="E14" s="31"/>
      <c r="F14" s="31">
        <f>(C14-C7)/(D14-D7)</f>
        <v>15.87064676616918</v>
      </c>
      <c r="G14" s="31">
        <f>1/F14</f>
        <v>6.3009404388714635E-2</v>
      </c>
      <c r="J14" s="31"/>
      <c r="K14" s="31" t="s">
        <v>113</v>
      </c>
    </row>
    <row r="15" spans="1:11" x14ac:dyDescent="0.3">
      <c r="A15" t="s">
        <v>105</v>
      </c>
      <c r="B15" t="s">
        <v>156</v>
      </c>
      <c r="C15">
        <v>1892</v>
      </c>
      <c r="D15">
        <v>267.89999999999998</v>
      </c>
      <c r="E15" s="31"/>
      <c r="F15" s="31">
        <f>(C15-C14)/(D15-D14)</f>
        <v>21.25</v>
      </c>
      <c r="G15" s="31">
        <f>1/F15</f>
        <v>4.7058823529411764E-2</v>
      </c>
      <c r="J15" s="31"/>
      <c r="K15" s="31" t="s">
        <v>113</v>
      </c>
    </row>
    <row r="16" spans="1:11" x14ac:dyDescent="0.3">
      <c r="A16" t="s">
        <v>105</v>
      </c>
      <c r="B16" t="s">
        <v>157</v>
      </c>
      <c r="C16">
        <v>1948</v>
      </c>
      <c r="D16">
        <v>269.39999999999998</v>
      </c>
      <c r="E16" s="31"/>
      <c r="F16" s="31">
        <f>(C16-C15)/(D16-D15)</f>
        <v>37.333333333333336</v>
      </c>
      <c r="G16" s="31">
        <f>1/F16</f>
        <v>2.6785714285714284E-2</v>
      </c>
      <c r="J16" s="31"/>
      <c r="K16" s="31" t="s">
        <v>113</v>
      </c>
    </row>
    <row r="17" spans="6:7" x14ac:dyDescent="0.3">
      <c r="F17" s="31"/>
      <c r="G17" s="31"/>
    </row>
    <row r="18" spans="6:7" x14ac:dyDescent="0.3">
      <c r="F18" s="31"/>
      <c r="G18" s="31"/>
    </row>
    <row r="19" spans="6:7" x14ac:dyDescent="0.3">
      <c r="F19" s="31"/>
      <c r="G19" s="31"/>
    </row>
    <row r="20" spans="6:7" x14ac:dyDescent="0.3">
      <c r="F20" s="31"/>
      <c r="G20" s="31"/>
    </row>
    <row r="21" spans="6:7" x14ac:dyDescent="0.3">
      <c r="F21" s="31"/>
      <c r="G21" s="3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0D091-3D04-4975-B69E-E8F95FCDE584}">
  <dimension ref="A1:K16"/>
  <sheetViews>
    <sheetView zoomScale="90" zoomScaleNormal="90" workbookViewId="0">
      <selection sqref="A1:K16"/>
    </sheetView>
  </sheetViews>
  <sheetFormatPr defaultRowHeight="14.4" x14ac:dyDescent="0.3"/>
  <cols>
    <col min="1" max="1" width="13.6640625" customWidth="1"/>
    <col min="2" max="2" width="16.6640625" customWidth="1"/>
    <col min="5" max="5" width="18.33203125" bestFit="1" customWidth="1"/>
    <col min="6" max="6" width="17.5546875" bestFit="1" customWidth="1"/>
    <col min="7" max="7" width="12.33203125" customWidth="1"/>
    <col min="8" max="8" width="13.33203125" customWidth="1"/>
    <col min="9" max="9" width="19.88671875" customWidth="1"/>
    <col min="10" max="10" width="14.21875" customWidth="1"/>
    <col min="11" max="11" width="13.6640625" customWidth="1"/>
  </cols>
  <sheetData>
    <row r="1" spans="1:11" ht="72" x14ac:dyDescent="0.3">
      <c r="A1" s="211" t="s">
        <v>107</v>
      </c>
      <c r="B1" s="211" t="s">
        <v>108</v>
      </c>
      <c r="C1" s="211" t="s">
        <v>132</v>
      </c>
      <c r="D1" s="211" t="s">
        <v>20</v>
      </c>
      <c r="E1" s="211" t="s">
        <v>133</v>
      </c>
      <c r="F1" s="211" t="s">
        <v>134</v>
      </c>
      <c r="G1" s="211" t="s">
        <v>135</v>
      </c>
      <c r="H1" s="211" t="s">
        <v>136</v>
      </c>
      <c r="I1" s="211" t="s">
        <v>137</v>
      </c>
      <c r="J1" s="211" t="s">
        <v>138</v>
      </c>
      <c r="K1" s="211" t="s">
        <v>139</v>
      </c>
    </row>
    <row r="2" spans="1:11" x14ac:dyDescent="0.3">
      <c r="A2" t="s">
        <v>114</v>
      </c>
      <c r="B2" t="s">
        <v>143</v>
      </c>
      <c r="C2">
        <v>1396</v>
      </c>
      <c r="D2" s="215">
        <v>214.2</v>
      </c>
      <c r="F2" s="31"/>
      <c r="K2" t="s">
        <v>113</v>
      </c>
    </row>
    <row r="3" spans="1:11" x14ac:dyDescent="0.3">
      <c r="A3" t="s">
        <v>114</v>
      </c>
      <c r="B3" t="s">
        <v>144</v>
      </c>
      <c r="C3">
        <v>1460</v>
      </c>
      <c r="D3" s="215">
        <v>239.5</v>
      </c>
      <c r="F3" s="31">
        <f>(C3-C2)/(D3-D2)</f>
        <v>2.5296442687747023</v>
      </c>
      <c r="G3" s="31">
        <f>1/F3</f>
        <v>0.39531250000000018</v>
      </c>
      <c r="K3" t="s">
        <v>113</v>
      </c>
    </row>
    <row r="4" spans="1:11" x14ac:dyDescent="0.3">
      <c r="A4" t="s">
        <v>114</v>
      </c>
      <c r="B4" t="s">
        <v>145</v>
      </c>
      <c r="C4">
        <v>1494</v>
      </c>
      <c r="D4" s="215">
        <v>215.9</v>
      </c>
      <c r="E4" s="31" t="s">
        <v>140</v>
      </c>
      <c r="F4" s="31"/>
      <c r="K4" t="s">
        <v>117</v>
      </c>
    </row>
    <row r="5" spans="1:11" x14ac:dyDescent="0.3">
      <c r="A5" t="s">
        <v>114</v>
      </c>
      <c r="B5" t="s">
        <v>146</v>
      </c>
      <c r="C5">
        <v>1615</v>
      </c>
      <c r="D5" s="215">
        <v>245.4</v>
      </c>
      <c r="F5" s="31" t="s">
        <v>141</v>
      </c>
      <c r="H5" s="57">
        <f>G7*(C5-C7)+D7</f>
        <v>257.67016806722688</v>
      </c>
      <c r="I5" s="213">
        <f>D5/H5</f>
        <v>0.95238033118360232</v>
      </c>
      <c r="K5" t="s">
        <v>117</v>
      </c>
    </row>
    <row r="6" spans="1:11" x14ac:dyDescent="0.3">
      <c r="A6" t="s">
        <v>114</v>
      </c>
      <c r="B6" t="s">
        <v>148</v>
      </c>
      <c r="C6">
        <v>1694</v>
      </c>
      <c r="D6" s="215">
        <v>231</v>
      </c>
      <c r="E6" s="31" t="s">
        <v>140</v>
      </c>
      <c r="F6" s="31"/>
      <c r="G6" s="31"/>
      <c r="K6" t="s">
        <v>117</v>
      </c>
    </row>
    <row r="7" spans="1:11" x14ac:dyDescent="0.3">
      <c r="A7" t="s">
        <v>114</v>
      </c>
      <c r="B7" t="s">
        <v>147</v>
      </c>
      <c r="C7">
        <v>1698</v>
      </c>
      <c r="D7" s="215">
        <v>267.39999999999998</v>
      </c>
      <c r="E7" s="31"/>
      <c r="F7" s="31">
        <f>(C7-C3)/(D7-D3)</f>
        <v>8.5304659498207958</v>
      </c>
      <c r="G7" s="31">
        <f>1/F7</f>
        <v>0.11722689075630242</v>
      </c>
      <c r="K7" t="s">
        <v>113</v>
      </c>
    </row>
    <row r="8" spans="1:11" x14ac:dyDescent="0.3">
      <c r="A8" t="s">
        <v>114</v>
      </c>
      <c r="B8" t="s">
        <v>150</v>
      </c>
      <c r="C8">
        <v>1788</v>
      </c>
      <c r="D8" s="215">
        <v>233.2</v>
      </c>
      <c r="E8" s="31" t="s">
        <v>140</v>
      </c>
      <c r="F8" s="31"/>
      <c r="H8" s="57"/>
      <c r="I8" s="213"/>
      <c r="K8" t="s">
        <v>117</v>
      </c>
    </row>
    <row r="9" spans="1:11" x14ac:dyDescent="0.3">
      <c r="A9" t="s">
        <v>114</v>
      </c>
      <c r="B9" t="s">
        <v>149</v>
      </c>
      <c r="C9">
        <v>1795</v>
      </c>
      <c r="D9" s="215">
        <v>269</v>
      </c>
      <c r="E9" s="31"/>
      <c r="F9" s="31" t="s">
        <v>141</v>
      </c>
      <c r="H9" s="57">
        <f>G14*(C9-C14)+D14</f>
        <v>272.55103448275861</v>
      </c>
      <c r="I9" s="213">
        <f>D9/H9</f>
        <v>0.98697112087834238</v>
      </c>
      <c r="J9" s="31">
        <f>(C9-C7)/(D9-D7)</f>
        <v>60.62499999999914</v>
      </c>
      <c r="K9" t="s">
        <v>112</v>
      </c>
    </row>
    <row r="10" spans="1:11" x14ac:dyDescent="0.3">
      <c r="A10" t="s">
        <v>114</v>
      </c>
      <c r="B10" t="s">
        <v>151</v>
      </c>
      <c r="C10">
        <v>1847</v>
      </c>
      <c r="D10" s="215">
        <v>233.8</v>
      </c>
      <c r="E10" s="31" t="s">
        <v>140</v>
      </c>
      <c r="F10" s="31"/>
      <c r="K10" t="s">
        <v>117</v>
      </c>
    </row>
    <row r="11" spans="1:11" x14ac:dyDescent="0.3">
      <c r="A11" t="s">
        <v>114</v>
      </c>
      <c r="B11" t="s">
        <v>152</v>
      </c>
      <c r="C11">
        <v>1927</v>
      </c>
      <c r="D11" s="215">
        <v>265.2</v>
      </c>
      <c r="E11" s="31" t="s">
        <v>140</v>
      </c>
      <c r="F11" s="31"/>
      <c r="H11" s="57"/>
      <c r="I11" s="213"/>
      <c r="K11" t="s">
        <v>117</v>
      </c>
    </row>
    <row r="12" spans="1:11" x14ac:dyDescent="0.3">
      <c r="A12" t="s">
        <v>114</v>
      </c>
      <c r="B12" t="s">
        <v>153</v>
      </c>
      <c r="C12">
        <v>2021</v>
      </c>
      <c r="D12" s="215">
        <v>267.3</v>
      </c>
      <c r="E12" s="31" t="s">
        <v>140</v>
      </c>
      <c r="F12" s="31"/>
      <c r="H12" s="57"/>
      <c r="I12" s="213"/>
      <c r="K12" t="s">
        <v>117</v>
      </c>
    </row>
    <row r="13" spans="1:11" x14ac:dyDescent="0.3">
      <c r="A13" t="s">
        <v>114</v>
      </c>
      <c r="B13" t="s">
        <v>154</v>
      </c>
      <c r="C13">
        <v>2079</v>
      </c>
      <c r="D13" s="215">
        <v>267.8</v>
      </c>
      <c r="E13" s="31" t="s">
        <v>140</v>
      </c>
      <c r="F13" s="31"/>
      <c r="H13" s="57"/>
      <c r="I13" s="213"/>
      <c r="K13" t="s">
        <v>117</v>
      </c>
    </row>
    <row r="14" spans="1:11" x14ac:dyDescent="0.3">
      <c r="A14" t="s">
        <v>114</v>
      </c>
      <c r="B14" t="s">
        <v>155</v>
      </c>
      <c r="C14">
        <v>2133</v>
      </c>
      <c r="D14" s="215">
        <v>290.5</v>
      </c>
      <c r="F14" s="31">
        <f>(C14-C7)/(D14-D7)</f>
        <v>18.831168831168814</v>
      </c>
      <c r="G14" s="31">
        <f>1/F14</f>
        <v>5.3103448275862115E-2</v>
      </c>
      <c r="K14" t="s">
        <v>113</v>
      </c>
    </row>
    <row r="15" spans="1:11" x14ac:dyDescent="0.3">
      <c r="A15" t="s">
        <v>114</v>
      </c>
      <c r="B15" t="s">
        <v>156</v>
      </c>
      <c r="C15">
        <v>2226</v>
      </c>
      <c r="D15" s="215">
        <v>292.60000000000002</v>
      </c>
      <c r="F15" s="31">
        <f>(C15-C14)/(D15-D14)</f>
        <v>44.285714285713809</v>
      </c>
      <c r="G15" s="31">
        <f>1/F15</f>
        <v>2.2580645161290564E-2</v>
      </c>
      <c r="K15" t="s">
        <v>113</v>
      </c>
    </row>
    <row r="16" spans="1:11" x14ac:dyDescent="0.3">
      <c r="A16" t="s">
        <v>114</v>
      </c>
      <c r="B16" t="s">
        <v>157</v>
      </c>
      <c r="C16">
        <v>2284</v>
      </c>
      <c r="D16" s="215">
        <v>293.10000000000002</v>
      </c>
      <c r="F16" s="220">
        <f>(C16-C15)/(D16-D15)</f>
        <v>116</v>
      </c>
      <c r="G16" s="31">
        <f>1/F16</f>
        <v>8.6206896551724137E-3</v>
      </c>
      <c r="K16" t="s">
        <v>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19DA4-4A0A-4416-97C8-39E47A7F5907}">
  <dimension ref="A1:K16"/>
  <sheetViews>
    <sheetView workbookViewId="0">
      <selection activeCell="J5" sqref="J5"/>
    </sheetView>
  </sheetViews>
  <sheetFormatPr defaultRowHeight="14.4" x14ac:dyDescent="0.3"/>
  <cols>
    <col min="2" max="2" width="14.33203125" bestFit="1" customWidth="1"/>
    <col min="3" max="3" width="11.6640625" customWidth="1"/>
    <col min="4" max="4" width="10.88671875" customWidth="1"/>
    <col min="5" max="5" width="17.21875" bestFit="1" customWidth="1"/>
    <col min="6" max="6" width="16.109375" customWidth="1"/>
    <col min="7" max="7" width="11.77734375" customWidth="1"/>
    <col min="8" max="8" width="19" customWidth="1"/>
    <col min="9" max="9" width="21.33203125" customWidth="1"/>
    <col min="11" max="11" width="10.77734375" customWidth="1"/>
  </cols>
  <sheetData>
    <row r="1" spans="1:11" ht="57.6" x14ac:dyDescent="0.3">
      <c r="A1" s="211" t="s">
        <v>107</v>
      </c>
      <c r="B1" s="211" t="s">
        <v>108</v>
      </c>
      <c r="C1" s="211" t="s">
        <v>132</v>
      </c>
      <c r="D1" s="211" t="s">
        <v>20</v>
      </c>
      <c r="E1" s="211" t="s">
        <v>133</v>
      </c>
      <c r="F1" s="211" t="s">
        <v>134</v>
      </c>
      <c r="G1" s="211" t="s">
        <v>135</v>
      </c>
      <c r="H1" s="211" t="s">
        <v>136</v>
      </c>
      <c r="I1" s="211" t="s">
        <v>137</v>
      </c>
      <c r="J1" s="211" t="s">
        <v>138</v>
      </c>
      <c r="K1" s="211" t="s">
        <v>139</v>
      </c>
    </row>
    <row r="2" spans="1:11" x14ac:dyDescent="0.3">
      <c r="A2" t="s">
        <v>106</v>
      </c>
      <c r="B2" t="s">
        <v>143</v>
      </c>
      <c r="C2">
        <v>1220</v>
      </c>
      <c r="D2" s="215">
        <v>172.2</v>
      </c>
      <c r="K2" t="s">
        <v>113</v>
      </c>
    </row>
    <row r="3" spans="1:11" x14ac:dyDescent="0.3">
      <c r="A3" t="s">
        <v>106</v>
      </c>
      <c r="B3" t="s">
        <v>145</v>
      </c>
      <c r="C3">
        <v>1292</v>
      </c>
      <c r="D3" s="215">
        <v>175.3</v>
      </c>
      <c r="F3" s="31" t="s">
        <v>141</v>
      </c>
      <c r="H3" s="57">
        <f>G4*(C3-C4)+D4</f>
        <v>183.64109589041098</v>
      </c>
      <c r="I3" s="213">
        <f>D3/H3</f>
        <v>0.95457936117203002</v>
      </c>
      <c r="K3" t="s">
        <v>117</v>
      </c>
    </row>
    <row r="4" spans="1:11" x14ac:dyDescent="0.3">
      <c r="A4" t="s">
        <v>106</v>
      </c>
      <c r="B4" t="s">
        <v>144</v>
      </c>
      <c r="C4">
        <v>1293</v>
      </c>
      <c r="D4" s="215">
        <v>183.8</v>
      </c>
      <c r="F4" s="31">
        <f>(C4-C2)/(D4-D2)</f>
        <v>6.2931034482758497</v>
      </c>
      <c r="G4" s="31">
        <f>1/F4</f>
        <v>0.15890410958904141</v>
      </c>
      <c r="K4" t="s">
        <v>113</v>
      </c>
    </row>
    <row r="5" spans="1:11" x14ac:dyDescent="0.3">
      <c r="A5" t="s">
        <v>106</v>
      </c>
      <c r="B5" t="s">
        <v>146</v>
      </c>
      <c r="C5">
        <v>1405</v>
      </c>
      <c r="D5" s="215">
        <v>193.5</v>
      </c>
      <c r="E5" s="31"/>
      <c r="F5" t="s">
        <v>141</v>
      </c>
      <c r="H5" s="57">
        <f>G11*(C5-C11)+D11</f>
        <v>194.20355555555557</v>
      </c>
      <c r="I5" s="213">
        <f>D5/H5</f>
        <v>0.99637722618649838</v>
      </c>
      <c r="J5">
        <f>(C5-C4)/(D5-D4)</f>
        <v>11.546391752577334</v>
      </c>
      <c r="K5" t="s">
        <v>112</v>
      </c>
    </row>
    <row r="6" spans="1:11" x14ac:dyDescent="0.3">
      <c r="A6" t="s">
        <v>106</v>
      </c>
      <c r="B6" t="s">
        <v>147</v>
      </c>
      <c r="C6">
        <v>1478</v>
      </c>
      <c r="D6" s="215">
        <v>197.1</v>
      </c>
      <c r="F6" t="s">
        <v>141</v>
      </c>
      <c r="H6" s="57">
        <f>G11*(C6-C11)+D11</f>
        <v>200.98444444444445</v>
      </c>
      <c r="I6" s="213">
        <f>D6/H6</f>
        <v>0.98067291000961931</v>
      </c>
      <c r="J6">
        <f>(C6-C4)/(D6-D4)</f>
        <v>13.909774436090244</v>
      </c>
      <c r="K6" t="s">
        <v>112</v>
      </c>
    </row>
    <row r="7" spans="1:11" x14ac:dyDescent="0.3">
      <c r="A7" t="s">
        <v>106</v>
      </c>
      <c r="B7" t="s">
        <v>148</v>
      </c>
      <c r="C7">
        <v>1523</v>
      </c>
      <c r="D7" s="215">
        <v>203.5</v>
      </c>
      <c r="E7" s="31"/>
      <c r="F7" t="s">
        <v>141</v>
      </c>
      <c r="H7" s="57">
        <f>G11*(C7-C11)+D11</f>
        <v>205.16444444444446</v>
      </c>
      <c r="I7" s="213">
        <f>D7/H7</f>
        <v>0.9918872665829036</v>
      </c>
      <c r="J7">
        <f>(C7-C4)/(D7-D4)</f>
        <v>11.675126903553306</v>
      </c>
      <c r="K7" t="s">
        <v>112</v>
      </c>
    </row>
    <row r="8" spans="1:11" x14ac:dyDescent="0.3">
      <c r="A8" t="s">
        <v>106</v>
      </c>
      <c r="B8" t="s">
        <v>149</v>
      </c>
      <c r="C8">
        <v>1548</v>
      </c>
      <c r="D8" s="215">
        <v>200.1</v>
      </c>
      <c r="E8" s="31" t="s">
        <v>140</v>
      </c>
      <c r="K8" t="s">
        <v>117</v>
      </c>
    </row>
    <row r="9" spans="1:11" x14ac:dyDescent="0.3">
      <c r="A9" t="s">
        <v>106</v>
      </c>
      <c r="B9" t="s">
        <v>150</v>
      </c>
      <c r="C9">
        <v>1598</v>
      </c>
      <c r="D9" s="215">
        <v>208</v>
      </c>
      <c r="F9" t="s">
        <v>141</v>
      </c>
      <c r="H9" s="57">
        <f>G11*(C9-C11)+D11</f>
        <v>212.13111111111112</v>
      </c>
      <c r="I9" s="213">
        <f>D9/H9</f>
        <v>0.98052567070679553</v>
      </c>
      <c r="J9">
        <f>(C9-C4)/(D9-D4)</f>
        <v>12.603305785123974</v>
      </c>
      <c r="K9" t="s">
        <v>112</v>
      </c>
    </row>
    <row r="10" spans="1:11" x14ac:dyDescent="0.3">
      <c r="A10" t="s">
        <v>106</v>
      </c>
      <c r="B10" t="s">
        <v>151</v>
      </c>
      <c r="C10">
        <v>1646</v>
      </c>
      <c r="D10" s="215">
        <v>209.3</v>
      </c>
      <c r="F10" t="s">
        <v>141</v>
      </c>
      <c r="H10" s="57">
        <f>G11*(C10-C11)+D11</f>
        <v>216.58977777777778</v>
      </c>
      <c r="I10" s="213">
        <f>D10/H10</f>
        <v>0.96634292784926756</v>
      </c>
      <c r="K10" t="s">
        <v>117</v>
      </c>
    </row>
    <row r="11" spans="1:11" x14ac:dyDescent="0.3">
      <c r="A11" t="s">
        <v>106</v>
      </c>
      <c r="B11" t="s">
        <v>152</v>
      </c>
      <c r="C11">
        <v>1743</v>
      </c>
      <c r="D11" s="215">
        <v>225.6</v>
      </c>
      <c r="F11">
        <f>(C11-C4)/(D11-D4)</f>
        <v>10.765550239234454</v>
      </c>
      <c r="G11" s="31">
        <f>1/F11</f>
        <v>9.2888888888888854E-2</v>
      </c>
      <c r="H11" s="57"/>
      <c r="I11" s="213"/>
      <c r="K11" t="s">
        <v>113</v>
      </c>
    </row>
    <row r="12" spans="1:11" x14ac:dyDescent="0.3">
      <c r="A12" t="s">
        <v>106</v>
      </c>
      <c r="B12" t="s">
        <v>153</v>
      </c>
      <c r="C12">
        <v>1817</v>
      </c>
      <c r="D12" s="215">
        <v>230.1</v>
      </c>
      <c r="F12" t="s">
        <v>141</v>
      </c>
      <c r="H12" s="57">
        <f>G14*(C12-C14)+D14</f>
        <v>230.89684210526315</v>
      </c>
      <c r="I12" s="213">
        <f>D12/H12</f>
        <v>0.99654892592727673</v>
      </c>
      <c r="J12">
        <f>(C12-C11)/(D12-D11)</f>
        <v>16.444444444444443</v>
      </c>
      <c r="K12" t="s">
        <v>112</v>
      </c>
    </row>
    <row r="13" spans="1:11" x14ac:dyDescent="0.3">
      <c r="A13" t="s">
        <v>106</v>
      </c>
      <c r="B13" t="s">
        <v>154</v>
      </c>
      <c r="C13">
        <v>1864</v>
      </c>
      <c r="D13" s="215">
        <v>231.4</v>
      </c>
      <c r="F13" t="s">
        <v>141</v>
      </c>
      <c r="H13" s="57">
        <f>G14*(C13-C14)+D14</f>
        <v>234.26105263157893</v>
      </c>
      <c r="I13" s="213">
        <f>D13/H13</f>
        <v>0.98778690439815242</v>
      </c>
      <c r="J13">
        <f>(C13-C11)/(D13-D11)</f>
        <v>20.862068965517199</v>
      </c>
      <c r="K13" t="s">
        <v>112</v>
      </c>
    </row>
    <row r="14" spans="1:11" x14ac:dyDescent="0.3">
      <c r="A14" t="s">
        <v>106</v>
      </c>
      <c r="B14" t="s">
        <v>155</v>
      </c>
      <c r="C14">
        <v>1933</v>
      </c>
      <c r="D14" s="215">
        <v>239.2</v>
      </c>
      <c r="F14">
        <f>(C14-C11)/(D14-D11)</f>
        <v>13.970588235294123</v>
      </c>
      <c r="G14" s="31">
        <f>1/F14</f>
        <v>7.157894736842102E-2</v>
      </c>
      <c r="K14" t="s">
        <v>113</v>
      </c>
    </row>
    <row r="15" spans="1:11" x14ac:dyDescent="0.3">
      <c r="A15" t="s">
        <v>106</v>
      </c>
      <c r="B15" t="s">
        <v>156</v>
      </c>
      <c r="C15">
        <v>2006</v>
      </c>
      <c r="D15" s="215">
        <v>243.7</v>
      </c>
      <c r="F15">
        <f>(C15-C14)/(D15-D14)</f>
        <v>16.222222222222221</v>
      </c>
      <c r="G15" s="31">
        <f>1/F15</f>
        <v>6.164383561643836E-2</v>
      </c>
      <c r="K15" t="s">
        <v>113</v>
      </c>
    </row>
    <row r="16" spans="1:11" x14ac:dyDescent="0.3">
      <c r="A16" t="s">
        <v>106</v>
      </c>
      <c r="B16" t="s">
        <v>157</v>
      </c>
      <c r="C16">
        <v>2052</v>
      </c>
      <c r="D16" s="215">
        <v>244.9</v>
      </c>
      <c r="F16">
        <f>(C16-C15)/(D16-D15)</f>
        <v>38.333333333332789</v>
      </c>
      <c r="G16" s="31">
        <f>1/F16</f>
        <v>2.60869565217395E-2</v>
      </c>
      <c r="K16" t="s"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2086-E4D1-4123-8836-7964F5E48BE2}">
  <sheetPr filterMode="1"/>
  <dimension ref="A1:M16"/>
  <sheetViews>
    <sheetView tabSelected="1" zoomScale="80" zoomScaleNormal="80" workbookViewId="0">
      <selection activeCell="E29" sqref="E29"/>
    </sheetView>
  </sheetViews>
  <sheetFormatPr defaultRowHeight="14.4" x14ac:dyDescent="0.3"/>
  <cols>
    <col min="1" max="1" width="9.5546875" customWidth="1"/>
    <col min="2" max="2" width="16.109375" bestFit="1" customWidth="1"/>
    <col min="5" max="5" width="19.5546875" customWidth="1"/>
    <col min="6" max="6" width="19.6640625" customWidth="1"/>
    <col min="7" max="7" width="11.21875" customWidth="1"/>
    <col min="8" max="8" width="8.88671875" customWidth="1"/>
    <col min="9" max="9" width="15" customWidth="1"/>
    <col min="10" max="10" width="10" customWidth="1"/>
  </cols>
  <sheetData>
    <row r="1" spans="1:13" ht="72" x14ac:dyDescent="0.3">
      <c r="A1" s="211" t="s">
        <v>107</v>
      </c>
      <c r="B1" s="211" t="s">
        <v>108</v>
      </c>
      <c r="C1" s="211" t="s">
        <v>132</v>
      </c>
      <c r="D1" s="211" t="s">
        <v>20</v>
      </c>
      <c r="E1" s="211" t="s">
        <v>133</v>
      </c>
      <c r="F1" s="211" t="s">
        <v>134</v>
      </c>
      <c r="G1" s="211" t="s">
        <v>135</v>
      </c>
      <c r="H1" s="211" t="s">
        <v>136</v>
      </c>
      <c r="I1" s="211" t="s">
        <v>137</v>
      </c>
      <c r="J1" s="211" t="s">
        <v>138</v>
      </c>
      <c r="K1" s="211" t="s">
        <v>139</v>
      </c>
      <c r="L1" s="211" t="s">
        <v>160</v>
      </c>
      <c r="M1" s="211" t="s">
        <v>161</v>
      </c>
    </row>
    <row r="2" spans="1:13" hidden="1" x14ac:dyDescent="0.3">
      <c r="A2" t="s">
        <v>111</v>
      </c>
      <c r="B2" t="s">
        <v>143</v>
      </c>
      <c r="C2" s="35">
        <v>1333.1469509812</v>
      </c>
      <c r="D2" s="212">
        <v>215.30925287847001</v>
      </c>
      <c r="F2" s="31"/>
      <c r="G2" s="31"/>
      <c r="H2" s="31"/>
      <c r="I2" s="31"/>
      <c r="J2" s="31"/>
      <c r="K2" t="s">
        <v>113</v>
      </c>
      <c r="L2" s="212">
        <v>293.12209487147652</v>
      </c>
      <c r="M2">
        <f>D2/L2</f>
        <v>0.73453778014542148</v>
      </c>
    </row>
    <row r="3" spans="1:13" x14ac:dyDescent="0.3">
      <c r="A3" t="s">
        <v>111</v>
      </c>
      <c r="B3" t="s">
        <v>144</v>
      </c>
      <c r="C3" s="35">
        <v>1389.0420102203</v>
      </c>
      <c r="D3" s="212">
        <v>231.31954151897</v>
      </c>
      <c r="F3" s="31">
        <f>(C3-C2)/(D3-D2)</f>
        <v>3.4911962235150802</v>
      </c>
      <c r="G3" s="31">
        <f>1/F3</f>
        <v>0.28643477363559899</v>
      </c>
      <c r="H3" s="31"/>
      <c r="I3" s="31"/>
      <c r="J3" s="31"/>
      <c r="K3" t="s">
        <v>113</v>
      </c>
      <c r="L3" s="212">
        <v>293.12209487147652</v>
      </c>
      <c r="M3">
        <f>D3/L3</f>
        <v>0.78915764306472802</v>
      </c>
    </row>
    <row r="4" spans="1:13" hidden="1" x14ac:dyDescent="0.3">
      <c r="A4" t="s">
        <v>111</v>
      </c>
      <c r="B4" t="s">
        <v>145</v>
      </c>
      <c r="C4" s="35">
        <v>1420.4620421095001</v>
      </c>
      <c r="D4" s="212">
        <v>219.97987637380999</v>
      </c>
      <c r="E4" t="s">
        <v>140</v>
      </c>
      <c r="F4" s="31"/>
      <c r="G4" s="31"/>
      <c r="H4" s="31"/>
      <c r="I4" s="31"/>
      <c r="J4" s="31"/>
      <c r="K4" t="s">
        <v>117</v>
      </c>
      <c r="L4" s="212">
        <v>293.12209487147652</v>
      </c>
      <c r="M4">
        <f t="shared" ref="M4:M8" si="0">D4/L4</f>
        <v>0.75047183485183278</v>
      </c>
    </row>
    <row r="5" spans="1:13" hidden="1" x14ac:dyDescent="0.3">
      <c r="A5" t="s">
        <v>111</v>
      </c>
      <c r="B5" t="s">
        <v>146</v>
      </c>
      <c r="C5" s="35">
        <v>1519.6833723159</v>
      </c>
      <c r="D5" s="212">
        <v>241.11912983030999</v>
      </c>
      <c r="F5" s="31" t="s">
        <v>141</v>
      </c>
      <c r="G5" s="31"/>
      <c r="H5" s="57">
        <f>G9*(C5-C9)+D9</f>
        <v>241.56459650098989</v>
      </c>
      <c r="I5" s="213">
        <f>D5/H5</f>
        <v>0.99815591077031818</v>
      </c>
      <c r="J5" s="31"/>
      <c r="K5" t="s">
        <v>112</v>
      </c>
      <c r="L5" s="212">
        <v>293.12209487147652</v>
      </c>
      <c r="M5">
        <f t="shared" si="0"/>
        <v>0.82258940574245021</v>
      </c>
    </row>
    <row r="6" spans="1:13" hidden="1" x14ac:dyDescent="0.3">
      <c r="A6" t="s">
        <v>111</v>
      </c>
      <c r="B6" t="s">
        <v>148</v>
      </c>
      <c r="C6" s="35">
        <v>1615.1995454442001</v>
      </c>
      <c r="D6" s="212">
        <v>237.12768231247</v>
      </c>
      <c r="E6" t="s">
        <v>140</v>
      </c>
      <c r="F6" s="31"/>
      <c r="G6" s="31"/>
      <c r="H6" s="31"/>
      <c r="I6" s="31"/>
      <c r="J6" s="31"/>
      <c r="K6" t="s">
        <v>117</v>
      </c>
      <c r="L6" s="212">
        <v>293.12209487147652</v>
      </c>
      <c r="M6">
        <f t="shared" si="0"/>
        <v>0.80897239226009876</v>
      </c>
    </row>
    <row r="7" spans="1:13" hidden="1" x14ac:dyDescent="0.3">
      <c r="A7" t="s">
        <v>111</v>
      </c>
      <c r="B7" t="s">
        <v>150</v>
      </c>
      <c r="C7" s="35">
        <v>1700.4959683507</v>
      </c>
      <c r="D7" s="212">
        <v>242.11316256433</v>
      </c>
      <c r="F7" s="31" t="s">
        <v>141</v>
      </c>
      <c r="G7" s="31"/>
      <c r="H7" s="31">
        <f>G9*(C7-C9)+D9</f>
        <v>255.74414085129078</v>
      </c>
      <c r="I7" s="213">
        <f>D7/H7</f>
        <v>0.94670072111295456</v>
      </c>
      <c r="J7" s="31"/>
      <c r="K7" t="s">
        <v>117</v>
      </c>
      <c r="L7" s="212">
        <v>293.12209487147652</v>
      </c>
      <c r="M7">
        <f t="shared" si="0"/>
        <v>0.82598059580083139</v>
      </c>
    </row>
    <row r="8" spans="1:13" hidden="1" x14ac:dyDescent="0.3">
      <c r="A8" t="s">
        <v>111</v>
      </c>
      <c r="B8" t="s">
        <v>151</v>
      </c>
      <c r="C8" s="35">
        <v>1755.5746677172001</v>
      </c>
      <c r="D8" s="212">
        <v>244.01748197769999</v>
      </c>
      <c r="E8" t="s">
        <v>140</v>
      </c>
      <c r="F8" s="31"/>
      <c r="G8" s="31"/>
      <c r="H8" s="31"/>
      <c r="I8" s="31"/>
      <c r="J8" s="31"/>
      <c r="K8" t="s">
        <v>117</v>
      </c>
      <c r="L8" s="212">
        <v>293.12209487147652</v>
      </c>
      <c r="M8">
        <f t="shared" si="0"/>
        <v>0.8324772722598508</v>
      </c>
    </row>
    <row r="9" spans="1:13" x14ac:dyDescent="0.3">
      <c r="A9" t="s">
        <v>111</v>
      </c>
      <c r="B9" t="s">
        <v>152</v>
      </c>
      <c r="C9" s="35">
        <v>1816.9471966647</v>
      </c>
      <c r="D9" s="212">
        <v>264.87638823192998</v>
      </c>
      <c r="F9" s="31">
        <f>(C9-C3)/(D9-D3)</f>
        <v>12.751650657305021</v>
      </c>
      <c r="G9" s="31">
        <f>1/F9</f>
        <v>7.8421219877689435E-2</v>
      </c>
      <c r="H9" s="31"/>
      <c r="I9" s="213"/>
      <c r="J9" s="31"/>
      <c r="K9" t="s">
        <v>113</v>
      </c>
      <c r="L9" s="212">
        <v>293.12209487147652</v>
      </c>
      <c r="M9">
        <f>D9/L9</f>
        <v>0.90363842530556671</v>
      </c>
    </row>
    <row r="10" spans="1:13" hidden="1" x14ac:dyDescent="0.3">
      <c r="A10" t="s">
        <v>111</v>
      </c>
      <c r="B10" t="s">
        <v>153</v>
      </c>
      <c r="C10" s="35">
        <v>1901.5055868175</v>
      </c>
      <c r="D10" s="212">
        <v>270.66516133075999</v>
      </c>
      <c r="F10" s="31">
        <f>(C10-C9)/(D10-D9)</f>
        <v>14.607307750564708</v>
      </c>
      <c r="G10" s="31">
        <f>1/F10</f>
        <v>6.8458884900356856E-2</v>
      </c>
      <c r="H10" s="31"/>
      <c r="I10" s="213"/>
      <c r="J10" s="31"/>
      <c r="K10" t="s">
        <v>113</v>
      </c>
      <c r="L10" s="212">
        <v>293.12209487147652</v>
      </c>
      <c r="M10">
        <f>D10/L10</f>
        <v>0.92338710068729857</v>
      </c>
    </row>
    <row r="11" spans="1:13" hidden="1" x14ac:dyDescent="0.3">
      <c r="A11" t="s">
        <v>111</v>
      </c>
      <c r="B11" t="s">
        <v>154</v>
      </c>
      <c r="C11" s="35">
        <v>1954.8153341233001</v>
      </c>
      <c r="D11" s="212">
        <v>271.59464108089998</v>
      </c>
      <c r="F11" s="31">
        <f>(C11-C10)/(D11-D10)</f>
        <v>57.354393463409039</v>
      </c>
      <c r="G11" s="31">
        <f>1/F11</f>
        <v>1.7435455936570581E-2</v>
      </c>
      <c r="H11" s="31"/>
      <c r="I11" s="213"/>
      <c r="J11" s="31"/>
      <c r="K11" t="s">
        <v>113</v>
      </c>
      <c r="L11" s="212">
        <v>293.12209487147652</v>
      </c>
      <c r="M11">
        <f>D11/L11</f>
        <v>0.92655806516388484</v>
      </c>
    </row>
    <row r="12" spans="1:13" x14ac:dyDescent="0.3">
      <c r="C12" s="35"/>
      <c r="D12" s="212"/>
      <c r="F12" s="31"/>
      <c r="G12" s="31"/>
      <c r="H12" s="31"/>
      <c r="I12" s="31"/>
      <c r="J12" s="31"/>
    </row>
    <row r="13" spans="1:13" x14ac:dyDescent="0.3">
      <c r="C13" s="35"/>
      <c r="D13" s="212"/>
      <c r="F13" s="31"/>
      <c r="G13" s="31"/>
      <c r="H13" s="31"/>
      <c r="I13" s="31"/>
      <c r="J13" s="31"/>
    </row>
    <row r="14" spans="1:13" x14ac:dyDescent="0.3">
      <c r="C14" s="35"/>
      <c r="D14" s="212"/>
      <c r="F14" s="31"/>
      <c r="G14" s="31"/>
      <c r="H14" s="31"/>
      <c r="I14" s="213"/>
      <c r="J14" s="57"/>
    </row>
    <row r="15" spans="1:13" x14ac:dyDescent="0.3">
      <c r="C15" s="35"/>
      <c r="D15" s="212"/>
      <c r="F15" s="31"/>
      <c r="G15" s="31"/>
      <c r="H15" s="31"/>
      <c r="I15" s="31"/>
      <c r="J15" s="31"/>
    </row>
    <row r="16" spans="1:13" x14ac:dyDescent="0.3">
      <c r="C16" s="35"/>
      <c r="D16" s="212"/>
      <c r="F16" s="31"/>
      <c r="G16" s="31"/>
      <c r="H16" s="31"/>
      <c r="I16" s="31"/>
      <c r="J16" s="31"/>
    </row>
  </sheetData>
  <autoFilter ref="A1:M11" xr:uid="{C62119F4-6C9E-479A-A173-4B107826727F}">
    <filterColumn colId="1">
      <filters>
        <filter val="CTC 50-75, 10 (3)"/>
        <filter val="CTC 50-75, 5 (6)"/>
      </filters>
    </filterColumn>
  </autoFilter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4CCCB-F8E6-4C35-93D1-EEEAA9AEB7EA}">
  <dimension ref="A1"/>
  <sheetViews>
    <sheetView workbookViewId="0">
      <selection activeCell="A2" sqref="A2"/>
    </sheetView>
  </sheetViews>
  <sheetFormatPr defaultRowHeight="14.4" x14ac:dyDescent="0.3"/>
  <sheetData>
    <row r="1" spans="1:1" x14ac:dyDescent="0.3">
      <c r="A1" s="14" t="s">
        <v>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SummaryQualCTC45-85</vt:lpstr>
      <vt:lpstr>SummaryQuantCTC</vt:lpstr>
      <vt:lpstr>CTC</vt:lpstr>
      <vt:lpstr>Intermediate CTC</vt:lpstr>
      <vt:lpstr>Quant MISCAN as Ref CTC</vt:lpstr>
      <vt:lpstr>Quant CRCSPIN as Ref CTC</vt:lpstr>
      <vt:lpstr>Quant SimCRC as Ref CTC</vt:lpstr>
      <vt:lpstr>Qual CTC CRC-AIM_45-85</vt:lpstr>
      <vt:lpstr>Qual CTC CRC-SPIN_45-85</vt:lpstr>
      <vt:lpstr>Qual CTC SimCRC_45-85</vt:lpstr>
      <vt:lpstr>Qual CTC MISCAN_45-85</vt:lpstr>
      <vt:lpstr>Qual CTC CRC-AIM_50-85 vs CISNE</vt:lpstr>
      <vt:lpstr>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</dc:creator>
  <cp:lastModifiedBy>TC</cp:lastModifiedBy>
  <dcterms:created xsi:type="dcterms:W3CDTF">2019-12-13T18:42:01Z</dcterms:created>
  <dcterms:modified xsi:type="dcterms:W3CDTF">2020-05-14T16:20:19Z</dcterms:modified>
</cp:coreProperties>
</file>