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Empiriqa\Project 482 ES Publication Adherence\Validation Agreement Analysis\"/>
    </mc:Choice>
  </mc:AlternateContent>
  <xr:revisionPtr revIDLastSave="0" documentId="13_ncr:1_{96E226CE-B3BA-4231-A31F-0BE29A382BC0}" xr6:coauthVersionLast="45" xr6:coauthVersionMax="45" xr10:uidLastSave="{00000000-0000-0000-0000-000000000000}"/>
  <bookViews>
    <workbookView xWindow="768" yWindow="84" windowWidth="21348" windowHeight="11640" tabRatio="886" firstSheet="12" activeTab="15" xr2:uid="{4ABC3BBD-BAF2-4297-86ED-3C6779D4C753}"/>
  </bookViews>
  <sheets>
    <sheet name="MedicalDecisionMaking" sheetId="17" r:id="rId1"/>
    <sheet name="SummaryQualCOL45-85" sheetId="8" r:id="rId2"/>
    <sheet name="SummaryQuantCOL" sheetId="6" r:id="rId3"/>
    <sheet name="COL" sheetId="1" r:id="rId4"/>
    <sheet name="Intermediate COL" sheetId="5" r:id="rId5"/>
    <sheet name="Quant COL MISCAN as Ref" sheetId="11" r:id="rId6"/>
    <sheet name="Quant COL CRCSPIN as Ref" sheetId="9" r:id="rId7"/>
    <sheet name="Quant COL SimCRC as Ref" sheetId="10" r:id="rId8"/>
    <sheet name="Qual COL CRC-AIM_45-85" sheetId="13" r:id="rId9"/>
    <sheet name="Qual COL CRC-SPIN_45-85" sheetId="14" r:id="rId10"/>
    <sheet name="Qual COL SimCRC_45-85" sheetId="15" r:id="rId11"/>
    <sheet name="Qual COL MISCAN_45-85" sheetId="16" r:id="rId12"/>
    <sheet name="Qual COL CRC-AIM_50-85" sheetId="19" r:id="rId13"/>
    <sheet name="Qual COL CRC-AIM_50-75" sheetId="24" r:id="rId14"/>
    <sheet name="Qual CISNET COL 50-85" sheetId="20" r:id="rId15"/>
    <sheet name="Qual Stool CRC-AIM_50-85" sheetId="23" r:id="rId16"/>
    <sheet name="Qual StoolCRC-AIM_50-75 Peterse" sheetId="25" r:id="rId17"/>
    <sheet name="version" sheetId="7" r:id="rId18"/>
  </sheets>
  <definedNames>
    <definedName name="_xlnm._FilterDatabase" localSheetId="12" hidden="1">'Qual COL CRC-AIM_50-85'!$A$1:$K$19</definedName>
    <definedName name="_xlnm._FilterDatabase" localSheetId="9" hidden="1">'Qual COL CRC-SPIN_45-85'!$A$1:$K$21</definedName>
    <definedName name="_xlnm._FilterDatabase" localSheetId="11" hidden="1">'Qual COL MISCAN_45-85'!$A$1:$K$21</definedName>
    <definedName name="_xlnm._FilterDatabase" localSheetId="10" hidden="1">'Qual COL SimCRC_45-85'!$A$1:$K$21</definedName>
    <definedName name="_xlnm._FilterDatabase" localSheetId="15" hidden="1">'Qual Stool CRC-AIM_50-85'!$A$1:$O$55</definedName>
    <definedName name="_xlnm._FilterDatabase" localSheetId="16" hidden="1">'Qual StoolCRC-AIM_50-75 Peterse'!$A$1:$O$10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55" i="23" l="1"/>
  <c r="Q54" i="23"/>
  <c r="Q53" i="23"/>
  <c r="Q52" i="23"/>
  <c r="Q51" i="23"/>
  <c r="Q50" i="23"/>
  <c r="Q49" i="23"/>
  <c r="Q48" i="23"/>
  <c r="Q47" i="23"/>
  <c r="Q46" i="23"/>
  <c r="Q45" i="23"/>
  <c r="Q44" i="23"/>
  <c r="Q43" i="23"/>
  <c r="Q42" i="23"/>
  <c r="Q41" i="23"/>
  <c r="Q40" i="23"/>
  <c r="Q39" i="23"/>
  <c r="Q38" i="23"/>
  <c r="Q37" i="23"/>
  <c r="Q36" i="23"/>
  <c r="Q35" i="23"/>
  <c r="Q34" i="23"/>
  <c r="Q33" i="23"/>
  <c r="Q32" i="23"/>
  <c r="Q31" i="23"/>
  <c r="Q30" i="23"/>
  <c r="Q29" i="23"/>
  <c r="Q28" i="23"/>
  <c r="Q27" i="23"/>
  <c r="Q26" i="23"/>
  <c r="Q25" i="23"/>
  <c r="Q24" i="23"/>
  <c r="Q23" i="23"/>
  <c r="Q22" i="23"/>
  <c r="Q21" i="23"/>
  <c r="Q20" i="23"/>
  <c r="Q19" i="23"/>
  <c r="Q18" i="23"/>
  <c r="Q17" i="23"/>
  <c r="Q16" i="23"/>
  <c r="Q15" i="23"/>
  <c r="Q14" i="23"/>
  <c r="Q13" i="23"/>
  <c r="Q12" i="23"/>
  <c r="Q11" i="23"/>
  <c r="Q10" i="23"/>
  <c r="Q9" i="23"/>
  <c r="Q8" i="23"/>
  <c r="Q7" i="23"/>
  <c r="Q6" i="23"/>
  <c r="Q5" i="23"/>
  <c r="Q4" i="23"/>
  <c r="Q3" i="23"/>
  <c r="Q2" i="23"/>
  <c r="N10" i="25" l="1"/>
  <c r="N9" i="25"/>
  <c r="N8" i="25"/>
  <c r="N7" i="25"/>
  <c r="N6" i="25"/>
  <c r="N5" i="25"/>
  <c r="N4" i="25"/>
  <c r="N3" i="25"/>
  <c r="N2" i="25"/>
  <c r="J9" i="25"/>
  <c r="I9" i="25"/>
  <c r="I7" i="25"/>
  <c r="I6" i="25"/>
  <c r="I3" i="25"/>
  <c r="H9" i="25"/>
  <c r="H7" i="25"/>
  <c r="H6" i="25"/>
  <c r="H3" i="25"/>
  <c r="G10" i="25"/>
  <c r="G8" i="25"/>
  <c r="G4" i="25"/>
  <c r="F10" i="25"/>
  <c r="F8" i="25"/>
  <c r="F4" i="25"/>
  <c r="N4" i="24"/>
  <c r="N3" i="24"/>
  <c r="N2" i="24"/>
  <c r="G4" i="24" l="1"/>
  <c r="G3" i="24"/>
  <c r="F4" i="24"/>
  <c r="F3" i="24"/>
  <c r="N55" i="23"/>
  <c r="N54" i="23"/>
  <c r="N53" i="23"/>
  <c r="N52" i="23"/>
  <c r="N51" i="23"/>
  <c r="N50" i="23"/>
  <c r="N49" i="23"/>
  <c r="N48" i="23"/>
  <c r="N47" i="23"/>
  <c r="N46" i="23"/>
  <c r="N45" i="23"/>
  <c r="N44" i="23"/>
  <c r="N43" i="23"/>
  <c r="N42" i="23"/>
  <c r="N41" i="23"/>
  <c r="N40" i="23"/>
  <c r="N39" i="23"/>
  <c r="N38" i="23"/>
  <c r="N37" i="23"/>
  <c r="N36" i="23"/>
  <c r="N35" i="23"/>
  <c r="N34" i="23"/>
  <c r="N33" i="23"/>
  <c r="N32" i="23"/>
  <c r="N31" i="23"/>
  <c r="N30" i="23"/>
  <c r="N29" i="23"/>
  <c r="N28" i="23"/>
  <c r="N27" i="23"/>
  <c r="N26" i="23"/>
  <c r="N25" i="23"/>
  <c r="N24" i="23"/>
  <c r="N23" i="23"/>
  <c r="N22" i="23"/>
  <c r="N21" i="23"/>
  <c r="N20" i="23"/>
  <c r="N19" i="23"/>
  <c r="N18" i="23"/>
  <c r="N17" i="23"/>
  <c r="N16" i="23"/>
  <c r="N15" i="23"/>
  <c r="N14" i="23"/>
  <c r="N13" i="23"/>
  <c r="N12" i="23"/>
  <c r="N11" i="23"/>
  <c r="N10" i="23"/>
  <c r="N9" i="23"/>
  <c r="N8" i="23"/>
  <c r="N7" i="23"/>
  <c r="N6" i="23"/>
  <c r="N5" i="23"/>
  <c r="N4" i="23"/>
  <c r="N3" i="23"/>
  <c r="N2" i="23"/>
  <c r="J54" i="23"/>
  <c r="J53" i="23"/>
  <c r="J51" i="23"/>
  <c r="J39" i="23"/>
  <c r="J17" i="23"/>
  <c r="J9" i="23"/>
  <c r="F55" i="23"/>
  <c r="G55" i="23" s="1"/>
  <c r="F45" i="23"/>
  <c r="G45" i="23" s="1"/>
  <c r="F43" i="23"/>
  <c r="G43" i="23" s="1"/>
  <c r="H39" i="23" s="1"/>
  <c r="I39" i="23" s="1"/>
  <c r="F25" i="23"/>
  <c r="G25" i="23" s="1"/>
  <c r="F22" i="23"/>
  <c r="G22" i="23" s="1"/>
  <c r="F7" i="23"/>
  <c r="G7" i="23" s="1"/>
  <c r="F5" i="23"/>
  <c r="G5" i="23" s="1"/>
  <c r="H4" i="23" l="1"/>
  <c r="I4" i="23" s="1"/>
  <c r="H3" i="23"/>
  <c r="I3" i="23" s="1"/>
  <c r="H54" i="23"/>
  <c r="I54" i="23" s="1"/>
  <c r="H51" i="23"/>
  <c r="I51" i="23" s="1"/>
  <c r="H9" i="23"/>
  <c r="I9" i="23" s="1"/>
  <c r="H17" i="23"/>
  <c r="I17" i="23" s="1"/>
  <c r="H14" i="23"/>
  <c r="I14" i="23" s="1"/>
  <c r="H36" i="23"/>
  <c r="I36" i="23" s="1"/>
  <c r="H37" i="23"/>
  <c r="I37" i="23" s="1"/>
  <c r="H53" i="23"/>
  <c r="I53" i="23" s="1"/>
  <c r="AA207" i="17" l="1"/>
  <c r="AA206" i="17"/>
  <c r="AA205" i="17"/>
  <c r="AA204" i="17"/>
  <c r="AA203" i="17"/>
  <c r="AA202" i="17"/>
  <c r="AA201" i="17"/>
  <c r="AA200" i="17"/>
  <c r="AA199" i="17"/>
  <c r="AA198" i="17"/>
  <c r="AA197" i="17"/>
  <c r="AA196" i="17"/>
  <c r="AA195" i="17"/>
  <c r="AA194" i="17"/>
  <c r="S207" i="17" l="1"/>
  <c r="T207" i="17" s="1"/>
  <c r="S206" i="17"/>
  <c r="T206" i="17" s="1"/>
  <c r="U205" i="17" s="1"/>
  <c r="V205" i="17" s="1"/>
  <c r="W205" i="17"/>
  <c r="S201" i="17"/>
  <c r="T201" i="17" s="1"/>
  <c r="T200" i="17"/>
  <c r="U198" i="17" s="1"/>
  <c r="V198" i="17" s="1"/>
  <c r="S200" i="17"/>
  <c r="W198" i="17"/>
  <c r="S195" i="17"/>
  <c r="T195" i="17" s="1"/>
  <c r="J13" i="19"/>
  <c r="J6" i="19"/>
  <c r="H6" i="13"/>
  <c r="G8" i="19"/>
  <c r="H6" i="19" s="1"/>
  <c r="I6" i="19" s="1"/>
  <c r="G3" i="19"/>
  <c r="F15" i="19"/>
  <c r="G15" i="19" s="1"/>
  <c r="F14" i="19"/>
  <c r="G14" i="19" s="1"/>
  <c r="H13" i="19" s="1"/>
  <c r="I13" i="19" s="1"/>
  <c r="F9" i="19"/>
  <c r="G9" i="19" s="1"/>
  <c r="F8" i="19"/>
  <c r="F3" i="19"/>
  <c r="R176" i="17"/>
  <c r="Q176" i="17"/>
  <c r="P176" i="17"/>
  <c r="O176" i="17"/>
  <c r="R175" i="17"/>
  <c r="Q175" i="17"/>
  <c r="P175" i="17"/>
  <c r="O175" i="17"/>
  <c r="R171" i="17"/>
  <c r="Q171" i="17"/>
  <c r="P171" i="17"/>
  <c r="O171" i="17"/>
  <c r="R170" i="17"/>
  <c r="Q170" i="17"/>
  <c r="P170" i="17"/>
  <c r="O170" i="17"/>
  <c r="X164" i="17"/>
  <c r="W164" i="17"/>
  <c r="V164" i="17"/>
  <c r="U164" i="17"/>
  <c r="X163" i="17"/>
  <c r="W163" i="17"/>
  <c r="V163" i="17"/>
  <c r="U163" i="17"/>
  <c r="X158" i="17"/>
  <c r="W158" i="17"/>
  <c r="V158" i="17"/>
  <c r="U158" i="17"/>
  <c r="X157" i="17"/>
  <c r="W157" i="17"/>
  <c r="V157" i="17"/>
  <c r="U157" i="17"/>
  <c r="X153" i="17"/>
  <c r="W153" i="17"/>
  <c r="V153" i="17"/>
  <c r="U153" i="17"/>
  <c r="X152" i="17"/>
  <c r="W152" i="17"/>
  <c r="V152" i="17"/>
  <c r="U152" i="17"/>
  <c r="R164" i="17"/>
  <c r="Q164" i="17"/>
  <c r="P164" i="17"/>
  <c r="O164" i="17"/>
  <c r="R163" i="17"/>
  <c r="Q163" i="17"/>
  <c r="P163" i="17"/>
  <c r="O163" i="17"/>
  <c r="R158" i="17"/>
  <c r="Q158" i="17"/>
  <c r="P158" i="17"/>
  <c r="O158" i="17"/>
  <c r="R153" i="17"/>
  <c r="Q153" i="17"/>
  <c r="P153" i="17"/>
  <c r="O153" i="17"/>
  <c r="R157" i="17"/>
  <c r="Q157" i="17"/>
  <c r="P157" i="17"/>
  <c r="O157" i="17"/>
  <c r="R152" i="17"/>
  <c r="Q152" i="17"/>
  <c r="P152" i="17"/>
  <c r="O152" i="17"/>
  <c r="R102" i="17"/>
  <c r="Q102" i="17"/>
  <c r="P102" i="17"/>
  <c r="O102" i="17"/>
  <c r="R98" i="17"/>
  <c r="Q98" i="17"/>
  <c r="P98" i="17"/>
  <c r="O98" i="17"/>
  <c r="AD36" i="17"/>
  <c r="AC36" i="17"/>
  <c r="AB36" i="17"/>
  <c r="AA36" i="17"/>
  <c r="X36" i="17"/>
  <c r="W36" i="17"/>
  <c r="V36" i="17"/>
  <c r="U36" i="17"/>
  <c r="R36" i="17"/>
  <c r="Q36" i="17"/>
  <c r="P36" i="17"/>
  <c r="O36" i="17"/>
  <c r="P159" i="17" l="1"/>
  <c r="Q159" i="17"/>
  <c r="U159" i="17"/>
  <c r="V159" i="17"/>
  <c r="W159" i="17"/>
  <c r="R159" i="17"/>
  <c r="X159" i="17"/>
  <c r="O159" i="17"/>
  <c r="P177" i="17"/>
  <c r="Q177" i="17"/>
  <c r="O177" i="17"/>
  <c r="R177" i="17"/>
  <c r="R103" i="17"/>
  <c r="O103" i="17"/>
  <c r="P103" i="17"/>
  <c r="Q103" i="17"/>
  <c r="R21" i="17" l="1"/>
  <c r="Q21" i="17"/>
  <c r="P21" i="17"/>
  <c r="O21" i="17"/>
  <c r="R17" i="17"/>
  <c r="Q17" i="17"/>
  <c r="P17" i="17"/>
  <c r="O17" i="17"/>
  <c r="X10" i="17" l="1"/>
  <c r="W10" i="17"/>
  <c r="V10" i="17"/>
  <c r="U10" i="17"/>
  <c r="X6" i="17"/>
  <c r="W6" i="17"/>
  <c r="V6" i="17"/>
  <c r="U6" i="17"/>
  <c r="R10" i="17"/>
  <c r="Q10" i="17"/>
  <c r="O10" i="17"/>
  <c r="R6" i="17"/>
  <c r="Q6" i="17"/>
  <c r="O6" i="17"/>
  <c r="P10" i="17"/>
  <c r="P6" i="17"/>
  <c r="F21" i="16" l="1"/>
  <c r="G21" i="16" s="1"/>
  <c r="F20" i="16"/>
  <c r="G20" i="16" s="1"/>
  <c r="F19" i="16"/>
  <c r="G19" i="16" s="1"/>
  <c r="J13" i="16"/>
  <c r="F12" i="16"/>
  <c r="G12" i="16" s="1"/>
  <c r="H10" i="16" s="1"/>
  <c r="I10" i="16" s="1"/>
  <c r="J10" i="16"/>
  <c r="F8" i="16"/>
  <c r="G8" i="16" s="1"/>
  <c r="H6" i="16" s="1"/>
  <c r="I6" i="16" s="1"/>
  <c r="F3" i="16"/>
  <c r="G3" i="16" s="1"/>
  <c r="F21" i="15"/>
  <c r="G21" i="15" s="1"/>
  <c r="F20" i="15"/>
  <c r="G20" i="15" s="1"/>
  <c r="F19" i="15"/>
  <c r="G19" i="15" s="1"/>
  <c r="H13" i="15" s="1"/>
  <c r="I13" i="15" s="1"/>
  <c r="J13" i="15"/>
  <c r="F11" i="15"/>
  <c r="G11" i="15" s="1"/>
  <c r="F9" i="15"/>
  <c r="G9" i="15" s="1"/>
  <c r="F3" i="15"/>
  <c r="G3" i="15" s="1"/>
  <c r="F21" i="14"/>
  <c r="G21" i="14" s="1"/>
  <c r="F20" i="14"/>
  <c r="G20" i="14" s="1"/>
  <c r="F19" i="14"/>
  <c r="G19" i="14" s="1"/>
  <c r="F13" i="14"/>
  <c r="G13" i="14" s="1"/>
  <c r="F11" i="14"/>
  <c r="G11" i="14" s="1"/>
  <c r="F9" i="14"/>
  <c r="G9" i="14" s="1"/>
  <c r="F3" i="14"/>
  <c r="G3" i="14" s="1"/>
  <c r="G21" i="13"/>
  <c r="F21" i="13"/>
  <c r="G20" i="13"/>
  <c r="H19" i="13" s="1"/>
  <c r="I19" i="13" s="1"/>
  <c r="F20" i="13"/>
  <c r="J19" i="13"/>
  <c r="G13" i="13"/>
  <c r="F13" i="13"/>
  <c r="G11" i="13"/>
  <c r="F11" i="13"/>
  <c r="G9" i="13"/>
  <c r="H8" i="13" s="1"/>
  <c r="I8" i="13" s="1"/>
  <c r="F9" i="13"/>
  <c r="G3" i="13"/>
  <c r="F3" i="13"/>
  <c r="AD65" i="8"/>
  <c r="AC82" i="8" s="1"/>
  <c r="R65" i="8"/>
  <c r="Q82" i="8" s="1"/>
  <c r="AD64" i="8"/>
  <c r="R64" i="8"/>
  <c r="AD63" i="8"/>
  <c r="R63" i="8"/>
  <c r="AC65" i="8"/>
  <c r="Q65" i="8"/>
  <c r="AC64" i="8"/>
  <c r="Q64" i="8"/>
  <c r="AC63" i="8"/>
  <c r="Q63" i="8"/>
  <c r="AB65" i="8"/>
  <c r="P65" i="8"/>
  <c r="AB64" i="8"/>
  <c r="P64" i="8"/>
  <c r="AB63" i="8"/>
  <c r="AB70" i="8" s="1"/>
  <c r="P63" i="8"/>
  <c r="P70" i="8" s="1"/>
  <c r="X65" i="8"/>
  <c r="W82" i="8" s="1"/>
  <c r="X64" i="8"/>
  <c r="X63" i="8"/>
  <c r="W65" i="8"/>
  <c r="W64" i="8"/>
  <c r="W63" i="8"/>
  <c r="V65" i="8"/>
  <c r="V64" i="8"/>
  <c r="V63" i="8"/>
  <c r="V70" i="8" s="1"/>
  <c r="R7" i="8"/>
  <c r="R6" i="8"/>
  <c r="R5" i="8"/>
  <c r="Q7" i="8"/>
  <c r="Q6" i="8"/>
  <c r="Q5" i="8"/>
  <c r="P7" i="8"/>
  <c r="P6" i="8"/>
  <c r="P5" i="8"/>
  <c r="P12" i="8" s="1"/>
  <c r="AD36" i="8"/>
  <c r="AC53" i="8" s="1"/>
  <c r="R36" i="8"/>
  <c r="Q53" i="8" s="1"/>
  <c r="AD35" i="8"/>
  <c r="R35" i="8"/>
  <c r="AD34" i="8"/>
  <c r="R34" i="8"/>
  <c r="AC36" i="8"/>
  <c r="Q36" i="8"/>
  <c r="AC35" i="8"/>
  <c r="Q35" i="8"/>
  <c r="AC34" i="8"/>
  <c r="Q34" i="8"/>
  <c r="AB36" i="8"/>
  <c r="P36" i="8"/>
  <c r="AB35" i="8"/>
  <c r="P35" i="8"/>
  <c r="AB34" i="8"/>
  <c r="AB41" i="8" s="1"/>
  <c r="P34" i="8"/>
  <c r="P41" i="8" s="1"/>
  <c r="X36" i="8"/>
  <c r="W53" i="8" s="1"/>
  <c r="V34" i="8"/>
  <c r="V41" i="8" s="1"/>
  <c r="X35" i="8"/>
  <c r="X34" i="8"/>
  <c r="W36" i="8"/>
  <c r="W35" i="8"/>
  <c r="W34" i="8"/>
  <c r="V36" i="8"/>
  <c r="V35" i="8"/>
  <c r="AD7" i="8"/>
  <c r="AD6" i="8"/>
  <c r="AD5" i="8"/>
  <c r="AC7" i="8"/>
  <c r="AC6" i="8"/>
  <c r="AC5" i="8"/>
  <c r="AB7" i="8"/>
  <c r="AB6" i="8"/>
  <c r="AB5" i="8"/>
  <c r="X7" i="8"/>
  <c r="X6" i="8"/>
  <c r="X5" i="8"/>
  <c r="W7" i="8"/>
  <c r="W6" i="8"/>
  <c r="W5" i="8"/>
  <c r="V7" i="8"/>
  <c r="V6" i="8"/>
  <c r="V5" i="8"/>
  <c r="H13" i="16" l="1"/>
  <c r="I13" i="16" s="1"/>
  <c r="H16" i="16"/>
  <c r="I16" i="16" s="1"/>
  <c r="H17" i="16"/>
  <c r="I17" i="16" s="1"/>
  <c r="H6" i="15"/>
  <c r="I6" i="15" s="1"/>
  <c r="H8" i="15"/>
  <c r="I8" i="15" s="1"/>
  <c r="H8" i="14"/>
  <c r="I8" i="14" s="1"/>
  <c r="H6" i="14"/>
  <c r="I6" i="14" s="1"/>
  <c r="I6" i="13"/>
  <c r="H18" i="16"/>
  <c r="I18" i="16" s="1"/>
  <c r="AC81" i="8"/>
  <c r="AC85" i="8" s="1"/>
  <c r="AB85" i="8"/>
  <c r="AB71" i="8"/>
  <c r="W81" i="8"/>
  <c r="W70" i="8"/>
  <c r="W71" i="8"/>
  <c r="U76" i="8" s="1"/>
  <c r="V82" i="8"/>
  <c r="V71" i="8"/>
  <c r="Q81" i="8"/>
  <c r="Q85" i="8" s="1"/>
  <c r="Q70" i="8"/>
  <c r="Q71" i="8"/>
  <c r="P82" i="8"/>
  <c r="P71" i="8"/>
  <c r="P75" i="8" s="1"/>
  <c r="AC70" i="8"/>
  <c r="AC71" i="8"/>
  <c r="AB82" i="8"/>
  <c r="AC75" i="8"/>
  <c r="AB75" i="8"/>
  <c r="AA75" i="8"/>
  <c r="AA85" i="8"/>
  <c r="W75" i="8"/>
  <c r="V75" i="8"/>
  <c r="U75" i="8"/>
  <c r="W85" i="8"/>
  <c r="V85" i="8"/>
  <c r="U85" i="8"/>
  <c r="P81" i="8"/>
  <c r="V81" i="8"/>
  <c r="AB81" i="8"/>
  <c r="AC52" i="8"/>
  <c r="AC56" i="8" s="1"/>
  <c r="AC41" i="8"/>
  <c r="AB53" i="8"/>
  <c r="AC42" i="8"/>
  <c r="AC45" i="8" s="1"/>
  <c r="AB42" i="8"/>
  <c r="W52" i="8"/>
  <c r="V56" i="8" s="1"/>
  <c r="W41" i="8"/>
  <c r="W42" i="8"/>
  <c r="V47" i="8" s="1"/>
  <c r="V53" i="8"/>
  <c r="V42" i="8"/>
  <c r="Q52" i="8"/>
  <c r="P56" i="8" s="1"/>
  <c r="Q41" i="8"/>
  <c r="Q12" i="8"/>
  <c r="P53" i="8"/>
  <c r="Q42" i="8"/>
  <c r="P42" i="8"/>
  <c r="O46" i="8" s="1"/>
  <c r="W56" i="8"/>
  <c r="W46" i="8"/>
  <c r="U46" i="8"/>
  <c r="V46" i="8"/>
  <c r="AC46" i="8"/>
  <c r="U45" i="8"/>
  <c r="P52" i="8"/>
  <c r="V52" i="8"/>
  <c r="AB52" i="8"/>
  <c r="P13" i="8"/>
  <c r="P17" i="8" s="1"/>
  <c r="Q13" i="8"/>
  <c r="P16" i="8" s="1"/>
  <c r="Q24" i="8"/>
  <c r="P24" i="8"/>
  <c r="Q23" i="8"/>
  <c r="P23" i="8"/>
  <c r="AA74" i="8" l="1"/>
  <c r="V76" i="8"/>
  <c r="O74" i="8"/>
  <c r="W76" i="8"/>
  <c r="V74" i="8"/>
  <c r="W74" i="8"/>
  <c r="U74" i="8"/>
  <c r="O85" i="8"/>
  <c r="P85" i="8"/>
  <c r="P74" i="8"/>
  <c r="Q76" i="8"/>
  <c r="O76" i="8"/>
  <c r="Q74" i="8"/>
  <c r="O75" i="8"/>
  <c r="Q75" i="8"/>
  <c r="P76" i="8"/>
  <c r="AB74" i="8"/>
  <c r="AC76" i="8"/>
  <c r="AC74" i="8"/>
  <c r="AA76" i="8"/>
  <c r="AB76" i="8"/>
  <c r="AC87" i="8"/>
  <c r="AB87" i="8"/>
  <c r="AC86" i="8"/>
  <c r="AA87" i="8"/>
  <c r="AB86" i="8"/>
  <c r="AA86" i="8"/>
  <c r="W87" i="8"/>
  <c r="V87" i="8"/>
  <c r="W86" i="8"/>
  <c r="U87" i="8"/>
  <c r="V86" i="8"/>
  <c r="U86" i="8"/>
  <c r="O87" i="8"/>
  <c r="P86" i="8"/>
  <c r="O86" i="8"/>
  <c r="P87" i="8"/>
  <c r="Q87" i="8"/>
  <c r="Q86" i="8"/>
  <c r="AC47" i="8"/>
  <c r="AB47" i="8"/>
  <c r="AB45" i="8"/>
  <c r="AA56" i="8"/>
  <c r="AA45" i="8"/>
  <c r="AB56" i="8"/>
  <c r="Q56" i="8"/>
  <c r="AB46" i="8"/>
  <c r="AA46" i="8"/>
  <c r="AA47" i="8"/>
  <c r="U56" i="8"/>
  <c r="U47" i="8"/>
  <c r="V45" i="8"/>
  <c r="W45" i="8"/>
  <c r="W47" i="8"/>
  <c r="P46" i="8"/>
  <c r="O56" i="8"/>
  <c r="P45" i="8"/>
  <c r="O47" i="8"/>
  <c r="Q45" i="8"/>
  <c r="O45" i="8"/>
  <c r="P47" i="8"/>
  <c r="Q47" i="8"/>
  <c r="Q46" i="8"/>
  <c r="Q17" i="8"/>
  <c r="AC58" i="8"/>
  <c r="AB58" i="8"/>
  <c r="AC57" i="8"/>
  <c r="AA58" i="8"/>
  <c r="AB57" i="8"/>
  <c r="AA57" i="8"/>
  <c r="W57" i="8"/>
  <c r="W58" i="8"/>
  <c r="V58" i="8"/>
  <c r="U58" i="8"/>
  <c r="V57" i="8"/>
  <c r="U57" i="8"/>
  <c r="O58" i="8"/>
  <c r="P57" i="8"/>
  <c r="O57" i="8"/>
  <c r="Q58" i="8"/>
  <c r="P58" i="8"/>
  <c r="Q57" i="8"/>
  <c r="O17" i="8"/>
  <c r="AC23" i="8"/>
  <c r="P18" i="8"/>
  <c r="Q18" i="8"/>
  <c r="Q16" i="8"/>
  <c r="O18" i="8"/>
  <c r="O16" i="8"/>
  <c r="P27" i="8"/>
  <c r="O27" i="8"/>
  <c r="Q27" i="8"/>
  <c r="W24" i="8"/>
  <c r="Q28" i="8"/>
  <c r="P28" i="8"/>
  <c r="Q29" i="8"/>
  <c r="O29" i="8"/>
  <c r="P29" i="8"/>
  <c r="O28" i="8"/>
  <c r="W23" i="8"/>
  <c r="AC24" i="8" l="1"/>
  <c r="AB12" i="8"/>
  <c r="AB23" i="8"/>
  <c r="AC12" i="8"/>
  <c r="V27" i="8"/>
  <c r="W12" i="8"/>
  <c r="W13" i="8"/>
  <c r="W27" i="8"/>
  <c r="V12" i="8"/>
  <c r="V23" i="8"/>
  <c r="U27" i="8"/>
  <c r="V13" i="8"/>
  <c r="V24" i="8"/>
  <c r="AC13" i="8" l="1"/>
  <c r="AC16" i="8" s="1"/>
  <c r="AA27" i="8"/>
  <c r="AB27" i="8"/>
  <c r="AC27" i="8"/>
  <c r="AB28" i="8"/>
  <c r="AB24" i="8"/>
  <c r="AA28" i="8" s="1"/>
  <c r="AB13" i="8"/>
  <c r="AC17" i="8" s="1"/>
  <c r="W16" i="8"/>
  <c r="V16" i="8"/>
  <c r="U16" i="8"/>
  <c r="U17" i="8"/>
  <c r="W18" i="8"/>
  <c r="W17" i="8"/>
  <c r="V17" i="8"/>
  <c r="U18" i="8"/>
  <c r="V18" i="8"/>
  <c r="V28" i="8"/>
  <c r="U28" i="8"/>
  <c r="W29" i="8"/>
  <c r="V29" i="8"/>
  <c r="U29" i="8"/>
  <c r="W28" i="8"/>
  <c r="E69" i="1"/>
  <c r="E68" i="1"/>
  <c r="E67" i="1"/>
  <c r="E66" i="1"/>
  <c r="E65" i="1"/>
  <c r="E64" i="1"/>
  <c r="E63" i="1"/>
  <c r="E62" i="1"/>
  <c r="E61" i="1"/>
  <c r="E60" i="1"/>
  <c r="E59" i="1"/>
  <c r="E58" i="1"/>
  <c r="E57" i="1"/>
  <c r="E56" i="1"/>
  <c r="E55" i="1"/>
  <c r="E54" i="1"/>
  <c r="E53" i="1"/>
  <c r="E52" i="1"/>
  <c r="E51" i="1"/>
  <c r="E50" i="1"/>
  <c r="E49" i="1"/>
  <c r="E48" i="1"/>
  <c r="D69" i="1"/>
  <c r="D68" i="1"/>
  <c r="D67" i="1"/>
  <c r="D66" i="1"/>
  <c r="D65" i="1"/>
  <c r="D64" i="1"/>
  <c r="D63" i="1"/>
  <c r="D62" i="1"/>
  <c r="D61" i="1"/>
  <c r="D60" i="1"/>
  <c r="D59" i="1"/>
  <c r="D58" i="1"/>
  <c r="D57" i="1"/>
  <c r="D56" i="1"/>
  <c r="D55" i="1"/>
  <c r="D54" i="1"/>
  <c r="D53" i="1"/>
  <c r="D52" i="1"/>
  <c r="D51" i="1"/>
  <c r="D50" i="1"/>
  <c r="D49" i="1"/>
  <c r="D48" i="1"/>
  <c r="C69" i="1"/>
  <c r="C68" i="1"/>
  <c r="C67" i="1"/>
  <c r="C66" i="1"/>
  <c r="C65" i="1"/>
  <c r="C64" i="1"/>
  <c r="C63" i="1"/>
  <c r="C62" i="1"/>
  <c r="C61" i="1"/>
  <c r="C60" i="1"/>
  <c r="C59" i="1"/>
  <c r="C58" i="1"/>
  <c r="C57" i="1"/>
  <c r="C56" i="1"/>
  <c r="C55" i="1"/>
  <c r="C54" i="1"/>
  <c r="C53" i="1"/>
  <c r="C52" i="1"/>
  <c r="C51" i="1"/>
  <c r="C50" i="1"/>
  <c r="C49" i="1"/>
  <c r="C48" i="1"/>
  <c r="E46" i="1"/>
  <c r="E45" i="1"/>
  <c r="E44" i="1"/>
  <c r="E43" i="1"/>
  <c r="E42" i="1"/>
  <c r="E41" i="1"/>
  <c r="E40" i="1"/>
  <c r="E39" i="1"/>
  <c r="E38" i="1"/>
  <c r="E37" i="1"/>
  <c r="E36" i="1"/>
  <c r="E35" i="1"/>
  <c r="E34" i="1"/>
  <c r="E33" i="1"/>
  <c r="E32" i="1"/>
  <c r="E31" i="1"/>
  <c r="E30" i="1"/>
  <c r="E29" i="1"/>
  <c r="E28" i="1"/>
  <c r="E27" i="1"/>
  <c r="E26" i="1"/>
  <c r="E25" i="1"/>
  <c r="D46" i="1"/>
  <c r="D45" i="1"/>
  <c r="D44" i="1"/>
  <c r="D43" i="1"/>
  <c r="D42" i="1"/>
  <c r="D41" i="1"/>
  <c r="D40" i="1"/>
  <c r="D39" i="1"/>
  <c r="D38" i="1"/>
  <c r="D37" i="1"/>
  <c r="D36" i="1"/>
  <c r="D35" i="1"/>
  <c r="D34" i="1"/>
  <c r="D33" i="1"/>
  <c r="D32" i="1"/>
  <c r="D31" i="1"/>
  <c r="D30" i="1"/>
  <c r="D29" i="1"/>
  <c r="D28" i="1"/>
  <c r="D27" i="1"/>
  <c r="D26" i="1"/>
  <c r="D25" i="1"/>
  <c r="C46" i="1"/>
  <c r="C45" i="1"/>
  <c r="C44" i="1"/>
  <c r="C43" i="1"/>
  <c r="C42" i="1"/>
  <c r="C41" i="1"/>
  <c r="C40" i="1"/>
  <c r="C39" i="1"/>
  <c r="C38" i="1"/>
  <c r="C37" i="1"/>
  <c r="C36" i="1"/>
  <c r="C35" i="1"/>
  <c r="C34" i="1"/>
  <c r="C33" i="1"/>
  <c r="C32" i="1"/>
  <c r="C31" i="1"/>
  <c r="C30" i="1"/>
  <c r="C29" i="1"/>
  <c r="C28" i="1"/>
  <c r="C27" i="1"/>
  <c r="C26" i="1"/>
  <c r="C25" i="1"/>
  <c r="E23" i="1"/>
  <c r="E22" i="1"/>
  <c r="E21" i="1"/>
  <c r="E20" i="1"/>
  <c r="E19" i="1"/>
  <c r="E18" i="1"/>
  <c r="E17" i="1"/>
  <c r="E16" i="1"/>
  <c r="E15" i="1"/>
  <c r="E14" i="1"/>
  <c r="E13" i="1"/>
  <c r="E12" i="1"/>
  <c r="E11" i="1"/>
  <c r="E10" i="1"/>
  <c r="E9" i="1"/>
  <c r="E8" i="1"/>
  <c r="E7" i="1"/>
  <c r="E6" i="1"/>
  <c r="E5" i="1"/>
  <c r="E4" i="1"/>
  <c r="E3" i="1"/>
  <c r="E2" i="1"/>
  <c r="D23" i="1"/>
  <c r="D22" i="1"/>
  <c r="D21" i="1"/>
  <c r="D20" i="1"/>
  <c r="D19" i="1"/>
  <c r="D18" i="1"/>
  <c r="D17" i="1"/>
  <c r="D16" i="1"/>
  <c r="D15" i="1"/>
  <c r="D14" i="1"/>
  <c r="D13" i="1"/>
  <c r="D12" i="1"/>
  <c r="D11" i="1"/>
  <c r="D10" i="1"/>
  <c r="D9" i="1"/>
  <c r="D8" i="1"/>
  <c r="D7" i="1"/>
  <c r="D6" i="1"/>
  <c r="D5" i="1"/>
  <c r="D4" i="1"/>
  <c r="D3" i="1"/>
  <c r="D2" i="1"/>
  <c r="C23" i="1"/>
  <c r="C22" i="1"/>
  <c r="C21" i="1"/>
  <c r="C20" i="1"/>
  <c r="C19" i="1"/>
  <c r="C18" i="1"/>
  <c r="C17" i="1"/>
  <c r="C16" i="1"/>
  <c r="C15" i="1"/>
  <c r="C14" i="1"/>
  <c r="C13" i="1"/>
  <c r="C12" i="1"/>
  <c r="C11" i="1"/>
  <c r="C10" i="1"/>
  <c r="C9" i="1"/>
  <c r="C8" i="1"/>
  <c r="C7" i="1"/>
  <c r="C6" i="1"/>
  <c r="C5" i="1"/>
  <c r="C4" i="1"/>
  <c r="C3" i="1"/>
  <c r="C2" i="1"/>
  <c r="K69" i="5"/>
  <c r="K68" i="5"/>
  <c r="K67" i="5"/>
  <c r="K66" i="5"/>
  <c r="K65" i="5"/>
  <c r="K64" i="5"/>
  <c r="K63" i="5"/>
  <c r="K62" i="5"/>
  <c r="K61" i="5"/>
  <c r="K60" i="5"/>
  <c r="K59" i="5"/>
  <c r="K58" i="5"/>
  <c r="K57" i="5"/>
  <c r="K56" i="5"/>
  <c r="K55" i="5"/>
  <c r="K54" i="5"/>
  <c r="K53" i="5"/>
  <c r="K52" i="5"/>
  <c r="K51" i="5"/>
  <c r="K50" i="5"/>
  <c r="K49" i="5"/>
  <c r="K48" i="5"/>
  <c r="G69" i="5"/>
  <c r="G68" i="5"/>
  <c r="G67" i="5"/>
  <c r="G66" i="5"/>
  <c r="G65" i="5"/>
  <c r="G64" i="5"/>
  <c r="G63" i="5"/>
  <c r="G62" i="5"/>
  <c r="G61" i="5"/>
  <c r="G60" i="5"/>
  <c r="G59" i="5"/>
  <c r="G58" i="5"/>
  <c r="G57" i="5"/>
  <c r="G56" i="5"/>
  <c r="G55" i="5"/>
  <c r="G54" i="5"/>
  <c r="G53" i="5"/>
  <c r="G52" i="5"/>
  <c r="G51" i="5"/>
  <c r="G50" i="5"/>
  <c r="G49" i="5"/>
  <c r="G48" i="5"/>
  <c r="C69" i="5"/>
  <c r="C68" i="5"/>
  <c r="C67" i="5"/>
  <c r="C66" i="5"/>
  <c r="C65" i="5"/>
  <c r="C64" i="5"/>
  <c r="C63" i="5"/>
  <c r="C62" i="5"/>
  <c r="C61" i="5"/>
  <c r="C60" i="5"/>
  <c r="C59" i="5"/>
  <c r="C58" i="5"/>
  <c r="C57" i="5"/>
  <c r="C56" i="5"/>
  <c r="C55" i="5"/>
  <c r="C54" i="5"/>
  <c r="C53" i="5"/>
  <c r="C52" i="5"/>
  <c r="C51" i="5"/>
  <c r="C50" i="5"/>
  <c r="C49" i="5"/>
  <c r="C48" i="5"/>
  <c r="K46" i="5"/>
  <c r="K45" i="5"/>
  <c r="K44" i="5"/>
  <c r="K43" i="5"/>
  <c r="K42" i="5"/>
  <c r="K41" i="5"/>
  <c r="K40" i="5"/>
  <c r="K39" i="5"/>
  <c r="K38" i="5"/>
  <c r="K37" i="5"/>
  <c r="K36" i="5"/>
  <c r="K35" i="5"/>
  <c r="K34" i="5"/>
  <c r="K33" i="5"/>
  <c r="K32" i="5"/>
  <c r="K31" i="5"/>
  <c r="K30" i="5"/>
  <c r="K29" i="5"/>
  <c r="K28" i="5"/>
  <c r="K27" i="5"/>
  <c r="K26" i="5"/>
  <c r="K25" i="5"/>
  <c r="G46" i="5"/>
  <c r="G45" i="5"/>
  <c r="G44" i="5"/>
  <c r="G43" i="5"/>
  <c r="G42" i="5"/>
  <c r="G41" i="5"/>
  <c r="G40" i="5"/>
  <c r="G39" i="5"/>
  <c r="G38" i="5"/>
  <c r="G37" i="5"/>
  <c r="G36" i="5"/>
  <c r="G35" i="5"/>
  <c r="G34" i="5"/>
  <c r="G33" i="5"/>
  <c r="G32" i="5"/>
  <c r="G31" i="5"/>
  <c r="G30" i="5"/>
  <c r="G29" i="5"/>
  <c r="G28" i="5"/>
  <c r="G27" i="5"/>
  <c r="G26" i="5"/>
  <c r="G25" i="5"/>
  <c r="C46" i="5"/>
  <c r="C45" i="5"/>
  <c r="C44" i="5"/>
  <c r="C43" i="5"/>
  <c r="C42" i="5"/>
  <c r="C41" i="5"/>
  <c r="C40" i="5"/>
  <c r="C39" i="5"/>
  <c r="C38" i="5"/>
  <c r="C37" i="5"/>
  <c r="C36" i="5"/>
  <c r="C35" i="5"/>
  <c r="C34" i="5"/>
  <c r="C33" i="5"/>
  <c r="C32" i="5"/>
  <c r="C31" i="5"/>
  <c r="C30" i="5"/>
  <c r="C29" i="5"/>
  <c r="C28" i="5"/>
  <c r="C27" i="5"/>
  <c r="C26" i="5"/>
  <c r="C25" i="5"/>
  <c r="K11" i="5"/>
  <c r="K10" i="5"/>
  <c r="K6" i="5"/>
  <c r="K7" i="5"/>
  <c r="G11" i="5"/>
  <c r="G10" i="5"/>
  <c r="G7" i="5"/>
  <c r="G6" i="5"/>
  <c r="K23" i="5"/>
  <c r="K22" i="5"/>
  <c r="K21" i="5"/>
  <c r="K20" i="5"/>
  <c r="K19" i="5"/>
  <c r="K18" i="5"/>
  <c r="K17" i="5"/>
  <c r="K16" i="5"/>
  <c r="K15" i="5"/>
  <c r="K14" i="5"/>
  <c r="K13" i="5"/>
  <c r="K12" i="5"/>
  <c r="K9" i="5"/>
  <c r="K8" i="5"/>
  <c r="K5" i="5"/>
  <c r="K4" i="5"/>
  <c r="K3" i="5"/>
  <c r="K2" i="5"/>
  <c r="G23" i="5"/>
  <c r="G22" i="5"/>
  <c r="G21" i="5"/>
  <c r="G20" i="5"/>
  <c r="G19" i="5"/>
  <c r="G18" i="5"/>
  <c r="G17" i="5"/>
  <c r="G16" i="5"/>
  <c r="G15" i="5"/>
  <c r="G14" i="5"/>
  <c r="G13" i="5"/>
  <c r="G12" i="5"/>
  <c r="G9" i="5"/>
  <c r="G8" i="5"/>
  <c r="G5" i="5"/>
  <c r="G4" i="5"/>
  <c r="G3" i="5"/>
  <c r="G2" i="5"/>
  <c r="C23" i="5"/>
  <c r="C22" i="5"/>
  <c r="C21" i="5"/>
  <c r="C20" i="5"/>
  <c r="C19" i="5"/>
  <c r="C18" i="5"/>
  <c r="C17" i="5"/>
  <c r="C16" i="5"/>
  <c r="C15" i="5"/>
  <c r="C14" i="5"/>
  <c r="C13" i="5"/>
  <c r="C12" i="5"/>
  <c r="C11" i="5"/>
  <c r="C10" i="5"/>
  <c r="C9" i="5"/>
  <c r="C8" i="5"/>
  <c r="C7" i="5"/>
  <c r="C6" i="5"/>
  <c r="C5" i="5"/>
  <c r="C4" i="5"/>
  <c r="C3" i="5"/>
  <c r="C2" i="5"/>
  <c r="AA16" i="8" l="1"/>
  <c r="AB16" i="8"/>
  <c r="AC18" i="8"/>
  <c r="AA17" i="8"/>
  <c r="AB17" i="8"/>
  <c r="AA18" i="8"/>
  <c r="AB18" i="8"/>
  <c r="AA29" i="8"/>
  <c r="AB29" i="8"/>
  <c r="AC29" i="8"/>
  <c r="AC28" i="8"/>
  <c r="C69" i="6"/>
  <c r="C68" i="6"/>
  <c r="C67" i="6"/>
  <c r="C66" i="6"/>
  <c r="C65" i="6"/>
  <c r="C64" i="6"/>
  <c r="C63" i="6"/>
  <c r="C62" i="6"/>
  <c r="C61" i="6"/>
  <c r="C60" i="6"/>
  <c r="C59" i="6"/>
  <c r="C58" i="6"/>
  <c r="C55" i="6"/>
  <c r="C54" i="6"/>
  <c r="C51" i="6"/>
  <c r="C50" i="6"/>
  <c r="C49" i="6"/>
  <c r="C48" i="6"/>
  <c r="C46" i="6"/>
  <c r="C45" i="6"/>
  <c r="C44" i="6"/>
  <c r="C43" i="6"/>
  <c r="C42" i="6"/>
  <c r="C41" i="6"/>
  <c r="C40" i="6"/>
  <c r="C39" i="6"/>
  <c r="C38" i="6"/>
  <c r="C37" i="6"/>
  <c r="C36" i="6"/>
  <c r="C35" i="6"/>
  <c r="C32" i="6"/>
  <c r="C31" i="6"/>
  <c r="C28" i="6"/>
  <c r="C27" i="6"/>
  <c r="C26" i="6"/>
  <c r="C25" i="6"/>
  <c r="C23" i="6"/>
  <c r="C22" i="6"/>
  <c r="C21" i="6"/>
  <c r="C20" i="6"/>
  <c r="C19" i="6"/>
  <c r="C18" i="6"/>
  <c r="C17" i="6"/>
  <c r="C16" i="6"/>
  <c r="C15" i="6"/>
  <c r="C14" i="6"/>
  <c r="C13" i="6"/>
  <c r="C12" i="6"/>
  <c r="C9" i="6"/>
  <c r="C8" i="6"/>
  <c r="C5" i="6"/>
  <c r="C4" i="6"/>
  <c r="C3" i="6"/>
  <c r="C2" i="6"/>
  <c r="J48" i="6" l="1"/>
  <c r="R69" i="1"/>
  <c r="Q69" i="1"/>
  <c r="P69" i="1"/>
  <c r="R68" i="1"/>
  <c r="Q68" i="1"/>
  <c r="P68" i="1"/>
  <c r="R67" i="1"/>
  <c r="Q67" i="1"/>
  <c r="P67" i="1"/>
  <c r="R66" i="1"/>
  <c r="Q66" i="1"/>
  <c r="P66" i="1"/>
  <c r="R65" i="1"/>
  <c r="Q65" i="1"/>
  <c r="P65" i="1"/>
  <c r="R64" i="1"/>
  <c r="Q64" i="1"/>
  <c r="P64" i="1"/>
  <c r="R63" i="1"/>
  <c r="Q63" i="1"/>
  <c r="P63" i="1"/>
  <c r="R62" i="1"/>
  <c r="Q62" i="1"/>
  <c r="P62" i="1"/>
  <c r="R61" i="1"/>
  <c r="Q61" i="1"/>
  <c r="P61" i="1"/>
  <c r="R60" i="1"/>
  <c r="Q60" i="1"/>
  <c r="P60" i="1"/>
  <c r="R59" i="1"/>
  <c r="Q59" i="1"/>
  <c r="P59" i="1"/>
  <c r="R58" i="1"/>
  <c r="Q58" i="1"/>
  <c r="P58" i="1"/>
  <c r="R55" i="1"/>
  <c r="Q55" i="1"/>
  <c r="P55" i="1"/>
  <c r="R54" i="1"/>
  <c r="Q54" i="1"/>
  <c r="P54" i="1"/>
  <c r="R51" i="1"/>
  <c r="Q51" i="1"/>
  <c r="P51" i="1"/>
  <c r="R50" i="1"/>
  <c r="Q50" i="1"/>
  <c r="P50" i="1"/>
  <c r="N69" i="1"/>
  <c r="G69" i="6" s="1"/>
  <c r="I69" i="6" s="1"/>
  <c r="M69" i="1"/>
  <c r="F69" i="6" s="1"/>
  <c r="H69" i="6" s="1"/>
  <c r="L69" i="1"/>
  <c r="N68" i="1"/>
  <c r="G68" i="6" s="1"/>
  <c r="I68" i="6" s="1"/>
  <c r="M68" i="1"/>
  <c r="F68" i="6" s="1"/>
  <c r="H68" i="6" s="1"/>
  <c r="L68" i="1"/>
  <c r="N67" i="1"/>
  <c r="G67" i="6" s="1"/>
  <c r="I67" i="6" s="1"/>
  <c r="M67" i="1"/>
  <c r="F67" i="6" s="1"/>
  <c r="H67" i="6" s="1"/>
  <c r="L67" i="1"/>
  <c r="N66" i="1"/>
  <c r="G66" i="6" s="1"/>
  <c r="I66" i="6" s="1"/>
  <c r="M66" i="1"/>
  <c r="F66" i="6" s="1"/>
  <c r="H66" i="6" s="1"/>
  <c r="L66" i="1"/>
  <c r="N65" i="1"/>
  <c r="G65" i="6" s="1"/>
  <c r="I65" i="6" s="1"/>
  <c r="M65" i="1"/>
  <c r="F65" i="6" s="1"/>
  <c r="H65" i="6" s="1"/>
  <c r="L65" i="1"/>
  <c r="N64" i="1"/>
  <c r="G64" i="6" s="1"/>
  <c r="I64" i="6" s="1"/>
  <c r="M64" i="1"/>
  <c r="F64" i="6" s="1"/>
  <c r="H64" i="6" s="1"/>
  <c r="L64" i="1"/>
  <c r="N63" i="1"/>
  <c r="G63" i="6" s="1"/>
  <c r="I63" i="6" s="1"/>
  <c r="M63" i="1"/>
  <c r="F63" i="6" s="1"/>
  <c r="H63" i="6" s="1"/>
  <c r="L63" i="1"/>
  <c r="N62" i="1"/>
  <c r="G62" i="6" s="1"/>
  <c r="I62" i="6" s="1"/>
  <c r="M62" i="1"/>
  <c r="F62" i="6" s="1"/>
  <c r="H62" i="6" s="1"/>
  <c r="L62" i="1"/>
  <c r="N61" i="1"/>
  <c r="G61" i="6" s="1"/>
  <c r="I61" i="6" s="1"/>
  <c r="M61" i="1"/>
  <c r="F61" i="6" s="1"/>
  <c r="H61" i="6" s="1"/>
  <c r="J61" i="6" s="1"/>
  <c r="L61" i="1"/>
  <c r="N60" i="1"/>
  <c r="G60" i="6" s="1"/>
  <c r="I60" i="6" s="1"/>
  <c r="M60" i="1"/>
  <c r="F60" i="6" s="1"/>
  <c r="H60" i="6" s="1"/>
  <c r="J60" i="6" s="1"/>
  <c r="L60" i="1"/>
  <c r="N59" i="1"/>
  <c r="G59" i="6" s="1"/>
  <c r="I59" i="6" s="1"/>
  <c r="M59" i="1"/>
  <c r="F59" i="6" s="1"/>
  <c r="H59" i="6" s="1"/>
  <c r="L59" i="1"/>
  <c r="N58" i="1"/>
  <c r="G58" i="6" s="1"/>
  <c r="I58" i="6" s="1"/>
  <c r="M58" i="1"/>
  <c r="F58" i="6" s="1"/>
  <c r="H58" i="6" s="1"/>
  <c r="L58" i="1"/>
  <c r="N55" i="1"/>
  <c r="G55" i="6" s="1"/>
  <c r="I55" i="6" s="1"/>
  <c r="M55" i="1"/>
  <c r="F55" i="6" s="1"/>
  <c r="H55" i="6" s="1"/>
  <c r="L55" i="1"/>
  <c r="N54" i="1"/>
  <c r="G54" i="6" s="1"/>
  <c r="I54" i="6" s="1"/>
  <c r="M54" i="1"/>
  <c r="F54" i="6" s="1"/>
  <c r="H54" i="6" s="1"/>
  <c r="L54" i="1"/>
  <c r="N51" i="1"/>
  <c r="G51" i="6" s="1"/>
  <c r="I51" i="6" s="1"/>
  <c r="M51" i="1"/>
  <c r="F51" i="6" s="1"/>
  <c r="H51" i="6" s="1"/>
  <c r="L51" i="1"/>
  <c r="N50" i="1"/>
  <c r="G50" i="6" s="1"/>
  <c r="I50" i="6" s="1"/>
  <c r="M50" i="1"/>
  <c r="F50" i="6" s="1"/>
  <c r="H50" i="6" s="1"/>
  <c r="L50" i="1"/>
  <c r="J69" i="1"/>
  <c r="I69" i="1"/>
  <c r="J68" i="1"/>
  <c r="I68" i="1"/>
  <c r="J67" i="1"/>
  <c r="I67" i="1"/>
  <c r="J66" i="1"/>
  <c r="I66" i="1"/>
  <c r="J65" i="1"/>
  <c r="I65" i="1"/>
  <c r="J64" i="1"/>
  <c r="I64" i="1"/>
  <c r="J63" i="1"/>
  <c r="I63" i="1"/>
  <c r="J62" i="1"/>
  <c r="I62" i="1"/>
  <c r="J61" i="1"/>
  <c r="I61" i="1"/>
  <c r="J60" i="1"/>
  <c r="I60" i="1"/>
  <c r="J59" i="1"/>
  <c r="I59" i="1"/>
  <c r="J58" i="1"/>
  <c r="I58" i="1"/>
  <c r="J55" i="1"/>
  <c r="I55" i="1"/>
  <c r="J54" i="1"/>
  <c r="I54" i="1"/>
  <c r="J51" i="1"/>
  <c r="I51" i="1"/>
  <c r="J50" i="1"/>
  <c r="I50" i="1"/>
  <c r="H69" i="1"/>
  <c r="D69" i="6" s="1"/>
  <c r="E69" i="6" s="1"/>
  <c r="H68" i="1"/>
  <c r="D68" i="6" s="1"/>
  <c r="E68" i="6" s="1"/>
  <c r="H67" i="1"/>
  <c r="D67" i="6" s="1"/>
  <c r="E67" i="6" s="1"/>
  <c r="H66" i="1"/>
  <c r="D66" i="6" s="1"/>
  <c r="E66" i="6" s="1"/>
  <c r="H65" i="1"/>
  <c r="D65" i="6" s="1"/>
  <c r="E65" i="6" s="1"/>
  <c r="H64" i="1"/>
  <c r="D64" i="6" s="1"/>
  <c r="E64" i="6" s="1"/>
  <c r="H63" i="1"/>
  <c r="D63" i="6" s="1"/>
  <c r="E63" i="6" s="1"/>
  <c r="H62" i="1"/>
  <c r="D62" i="6" s="1"/>
  <c r="E62" i="6" s="1"/>
  <c r="H61" i="1"/>
  <c r="D61" i="6" s="1"/>
  <c r="E61" i="6" s="1"/>
  <c r="H60" i="1"/>
  <c r="D60" i="6" s="1"/>
  <c r="E60" i="6" s="1"/>
  <c r="H59" i="1"/>
  <c r="D59" i="6" s="1"/>
  <c r="E59" i="6" s="1"/>
  <c r="H58" i="1"/>
  <c r="D58" i="6" s="1"/>
  <c r="E58" i="6" s="1"/>
  <c r="H55" i="1"/>
  <c r="D55" i="6" s="1"/>
  <c r="E55" i="6" s="1"/>
  <c r="H54" i="1"/>
  <c r="D54" i="6" s="1"/>
  <c r="E54" i="6" s="1"/>
  <c r="H51" i="1"/>
  <c r="D51" i="6" s="1"/>
  <c r="E51" i="6" s="1"/>
  <c r="H50" i="1"/>
  <c r="D50" i="6" s="1"/>
  <c r="E50" i="6" s="1"/>
  <c r="R49" i="1"/>
  <c r="Q49" i="1"/>
  <c r="P49" i="1"/>
  <c r="R48" i="1"/>
  <c r="Q48" i="1"/>
  <c r="P48" i="1"/>
  <c r="N49" i="1"/>
  <c r="G49" i="6" s="1"/>
  <c r="I49" i="6" s="1"/>
  <c r="M49" i="1"/>
  <c r="F49" i="6" s="1"/>
  <c r="H49" i="6" s="1"/>
  <c r="L49" i="1"/>
  <c r="N48" i="1"/>
  <c r="G48" i="6" s="1"/>
  <c r="I48" i="6" s="1"/>
  <c r="M48" i="1"/>
  <c r="F48" i="6" s="1"/>
  <c r="H48" i="6" s="1"/>
  <c r="L48" i="1"/>
  <c r="J49" i="1"/>
  <c r="I49" i="1"/>
  <c r="J48" i="1"/>
  <c r="I48" i="1"/>
  <c r="H49" i="1"/>
  <c r="D49" i="6" s="1"/>
  <c r="E49" i="6" s="1"/>
  <c r="H48" i="1"/>
  <c r="D48" i="6" s="1"/>
  <c r="E48" i="6" s="1"/>
  <c r="R46" i="1"/>
  <c r="Q46" i="1"/>
  <c r="P46" i="1"/>
  <c r="R45" i="1"/>
  <c r="Q45" i="1"/>
  <c r="P45" i="1"/>
  <c r="N46" i="1"/>
  <c r="G46" i="6" s="1"/>
  <c r="I46" i="6" s="1"/>
  <c r="M46" i="1"/>
  <c r="F46" i="6" s="1"/>
  <c r="H46" i="6" s="1"/>
  <c r="L46" i="1"/>
  <c r="N45" i="1"/>
  <c r="G45" i="6" s="1"/>
  <c r="I45" i="6" s="1"/>
  <c r="M45" i="1"/>
  <c r="F45" i="6" s="1"/>
  <c r="H45" i="6" s="1"/>
  <c r="L45" i="1"/>
  <c r="J46" i="1"/>
  <c r="I46" i="1"/>
  <c r="J45" i="1"/>
  <c r="I45" i="1"/>
  <c r="H46" i="1"/>
  <c r="D46" i="6" s="1"/>
  <c r="E46" i="6" s="1"/>
  <c r="H45" i="1"/>
  <c r="D45" i="6" s="1"/>
  <c r="E45" i="6" s="1"/>
  <c r="R44" i="1"/>
  <c r="Q44" i="1"/>
  <c r="P44" i="1"/>
  <c r="R43" i="1"/>
  <c r="Q43" i="1"/>
  <c r="P43" i="1"/>
  <c r="N44" i="1"/>
  <c r="G44" i="6" s="1"/>
  <c r="I44" i="6" s="1"/>
  <c r="M44" i="1"/>
  <c r="F44" i="6" s="1"/>
  <c r="H44" i="6" s="1"/>
  <c r="L44" i="1"/>
  <c r="N43" i="1"/>
  <c r="G43" i="6" s="1"/>
  <c r="I43" i="6" s="1"/>
  <c r="M43" i="1"/>
  <c r="F43" i="6" s="1"/>
  <c r="H43" i="6" s="1"/>
  <c r="L43" i="1"/>
  <c r="J44" i="1"/>
  <c r="I44" i="1"/>
  <c r="J43" i="1"/>
  <c r="I43" i="1"/>
  <c r="H44" i="1"/>
  <c r="D44" i="6" s="1"/>
  <c r="E44" i="6" s="1"/>
  <c r="H43" i="1"/>
  <c r="D43" i="6" s="1"/>
  <c r="E43" i="6" s="1"/>
  <c r="R42" i="1"/>
  <c r="Q42" i="1"/>
  <c r="P42" i="1"/>
  <c r="R41" i="1"/>
  <c r="Q41" i="1"/>
  <c r="P41" i="1"/>
  <c r="N42" i="1"/>
  <c r="G42" i="6" s="1"/>
  <c r="I42" i="6" s="1"/>
  <c r="M42" i="1"/>
  <c r="F42" i="6" s="1"/>
  <c r="H42" i="6" s="1"/>
  <c r="L42" i="1"/>
  <c r="N41" i="1"/>
  <c r="G41" i="6" s="1"/>
  <c r="I41" i="6" s="1"/>
  <c r="M41" i="1"/>
  <c r="F41" i="6" s="1"/>
  <c r="H41" i="6" s="1"/>
  <c r="L41" i="1"/>
  <c r="J42" i="1"/>
  <c r="I42" i="1"/>
  <c r="J41" i="1"/>
  <c r="I41" i="1"/>
  <c r="H42" i="1"/>
  <c r="D42" i="6" s="1"/>
  <c r="E42" i="6" s="1"/>
  <c r="H41" i="1"/>
  <c r="D41" i="6" s="1"/>
  <c r="E41" i="6" s="1"/>
  <c r="N69" i="6" l="1"/>
  <c r="L69" i="6"/>
  <c r="N68" i="6"/>
  <c r="L68" i="6"/>
  <c r="K69" i="6"/>
  <c r="M69" i="6"/>
  <c r="K68" i="6"/>
  <c r="M68" i="6"/>
  <c r="O68" i="6" s="1"/>
  <c r="N66" i="6"/>
  <c r="L66" i="6"/>
  <c r="N67" i="6"/>
  <c r="L67" i="6"/>
  <c r="M66" i="6"/>
  <c r="O66" i="6" s="1"/>
  <c r="K66" i="6"/>
  <c r="K67" i="6"/>
  <c r="M67" i="6"/>
  <c r="O67" i="6" s="1"/>
  <c r="N64" i="6"/>
  <c r="L64" i="6"/>
  <c r="N65" i="6"/>
  <c r="L65" i="6"/>
  <c r="K65" i="6"/>
  <c r="M65" i="6"/>
  <c r="O65" i="6" s="1"/>
  <c r="K64" i="6"/>
  <c r="M64" i="6"/>
  <c r="L63" i="6"/>
  <c r="N63" i="6"/>
  <c r="N62" i="6"/>
  <c r="L62" i="6"/>
  <c r="M62" i="6"/>
  <c r="K62" i="6"/>
  <c r="M63" i="6"/>
  <c r="K63" i="6"/>
  <c r="N61" i="6"/>
  <c r="L61" i="6"/>
  <c r="L60" i="6"/>
  <c r="N60" i="6"/>
  <c r="K60" i="6"/>
  <c r="M60" i="6"/>
  <c r="O60" i="6" s="1"/>
  <c r="P60" i="6" s="1"/>
  <c r="M61" i="6"/>
  <c r="K61" i="6"/>
  <c r="N59" i="6"/>
  <c r="L59" i="6"/>
  <c r="L58" i="6"/>
  <c r="N58" i="6"/>
  <c r="K58" i="6"/>
  <c r="M58" i="6"/>
  <c r="M59" i="6"/>
  <c r="K59" i="6"/>
  <c r="N54" i="6"/>
  <c r="L54" i="6"/>
  <c r="L55" i="6"/>
  <c r="N55" i="6"/>
  <c r="M55" i="6"/>
  <c r="O55" i="6" s="1"/>
  <c r="K55" i="6"/>
  <c r="M54" i="6"/>
  <c r="K54" i="6"/>
  <c r="N50" i="6"/>
  <c r="L50" i="6"/>
  <c r="N51" i="6"/>
  <c r="L51" i="6"/>
  <c r="M51" i="6"/>
  <c r="K51" i="6"/>
  <c r="M50" i="6"/>
  <c r="K50" i="6"/>
  <c r="N49" i="6"/>
  <c r="L49" i="6"/>
  <c r="L48" i="6"/>
  <c r="N48" i="6"/>
  <c r="M48" i="6"/>
  <c r="K48" i="6"/>
  <c r="K49" i="6"/>
  <c r="M49" i="6"/>
  <c r="J68" i="6"/>
  <c r="J69" i="6"/>
  <c r="J66" i="6"/>
  <c r="J67" i="6"/>
  <c r="J64" i="6"/>
  <c r="J65" i="6"/>
  <c r="J63" i="6"/>
  <c r="J62" i="6"/>
  <c r="J58" i="6"/>
  <c r="J59" i="6"/>
  <c r="J55" i="6"/>
  <c r="J54" i="6"/>
  <c r="J51" i="6"/>
  <c r="J50" i="6"/>
  <c r="J49" i="6"/>
  <c r="L46" i="6"/>
  <c r="N46" i="6"/>
  <c r="N45" i="6"/>
  <c r="L45" i="6"/>
  <c r="M45" i="6"/>
  <c r="K45" i="6"/>
  <c r="M46" i="6"/>
  <c r="K46" i="6"/>
  <c r="L44" i="6"/>
  <c r="N44" i="6"/>
  <c r="N43" i="6"/>
  <c r="L43" i="6"/>
  <c r="K43" i="6"/>
  <c r="M43" i="6"/>
  <c r="O43" i="6" s="1"/>
  <c r="M44" i="6"/>
  <c r="O44" i="6" s="1"/>
  <c r="P44" i="6" s="1"/>
  <c r="K44" i="6"/>
  <c r="N41" i="6"/>
  <c r="L41" i="6"/>
  <c r="N42" i="6"/>
  <c r="L42" i="6"/>
  <c r="M42" i="6"/>
  <c r="K42" i="6"/>
  <c r="M41" i="6"/>
  <c r="K41" i="6"/>
  <c r="J46" i="6"/>
  <c r="J45" i="6"/>
  <c r="J44" i="6"/>
  <c r="J43" i="6"/>
  <c r="J42" i="6"/>
  <c r="J41" i="6"/>
  <c r="R40" i="1"/>
  <c r="Q40" i="1"/>
  <c r="P40" i="1"/>
  <c r="R39" i="1"/>
  <c r="Q39" i="1"/>
  <c r="P39" i="1"/>
  <c r="N40" i="1"/>
  <c r="G40" i="6" s="1"/>
  <c r="I40" i="6" s="1"/>
  <c r="M40" i="1"/>
  <c r="F40" i="6" s="1"/>
  <c r="H40" i="6" s="1"/>
  <c r="L40" i="1"/>
  <c r="N39" i="1"/>
  <c r="G39" i="6" s="1"/>
  <c r="I39" i="6" s="1"/>
  <c r="M39" i="1"/>
  <c r="F39" i="6" s="1"/>
  <c r="H39" i="6" s="1"/>
  <c r="L39" i="1"/>
  <c r="J40" i="1"/>
  <c r="I40" i="1"/>
  <c r="J39" i="1"/>
  <c r="I39" i="1"/>
  <c r="H40" i="1"/>
  <c r="D40" i="6" s="1"/>
  <c r="E40" i="6" s="1"/>
  <c r="H39" i="1"/>
  <c r="D39" i="6" s="1"/>
  <c r="E39" i="6" s="1"/>
  <c r="R38" i="1"/>
  <c r="Q38" i="1"/>
  <c r="P38" i="1"/>
  <c r="R37" i="1"/>
  <c r="Q37" i="1"/>
  <c r="P37" i="1"/>
  <c r="N38" i="1"/>
  <c r="G38" i="6" s="1"/>
  <c r="I38" i="6" s="1"/>
  <c r="M38" i="1"/>
  <c r="F38" i="6" s="1"/>
  <c r="H38" i="6" s="1"/>
  <c r="J38" i="6" s="1"/>
  <c r="L38" i="1"/>
  <c r="N37" i="1"/>
  <c r="G37" i="6" s="1"/>
  <c r="I37" i="6" s="1"/>
  <c r="M37" i="1"/>
  <c r="F37" i="6" s="1"/>
  <c r="H37" i="6" s="1"/>
  <c r="J37" i="6" s="1"/>
  <c r="L37" i="1"/>
  <c r="J38" i="1"/>
  <c r="I38" i="1"/>
  <c r="J37" i="1"/>
  <c r="I37" i="1"/>
  <c r="H38" i="1"/>
  <c r="D38" i="6" s="1"/>
  <c r="E38" i="6" s="1"/>
  <c r="H37" i="1"/>
  <c r="D37" i="6" s="1"/>
  <c r="E37" i="6" s="1"/>
  <c r="R36" i="1"/>
  <c r="Q36" i="1"/>
  <c r="P36" i="1"/>
  <c r="N36" i="1"/>
  <c r="G36" i="6" s="1"/>
  <c r="I36" i="6" s="1"/>
  <c r="M36" i="1"/>
  <c r="F36" i="6" s="1"/>
  <c r="H36" i="6" s="1"/>
  <c r="J36" i="6" s="1"/>
  <c r="L36" i="1"/>
  <c r="J36" i="1"/>
  <c r="I36" i="1"/>
  <c r="R35" i="1"/>
  <c r="Q35" i="1"/>
  <c r="P35" i="1"/>
  <c r="N35" i="1"/>
  <c r="G35" i="6" s="1"/>
  <c r="I35" i="6" s="1"/>
  <c r="M35" i="1"/>
  <c r="F35" i="6" s="1"/>
  <c r="H35" i="6" s="1"/>
  <c r="J35" i="6" s="1"/>
  <c r="L35" i="1"/>
  <c r="J35" i="1"/>
  <c r="I35" i="1"/>
  <c r="H36" i="1"/>
  <c r="D36" i="6" s="1"/>
  <c r="E36" i="6" s="1"/>
  <c r="H35" i="1"/>
  <c r="D35" i="6" s="1"/>
  <c r="E35" i="6" s="1"/>
  <c r="R32" i="1"/>
  <c r="Q32" i="1"/>
  <c r="P32" i="1"/>
  <c r="R31" i="1"/>
  <c r="Q31" i="1"/>
  <c r="P31" i="1"/>
  <c r="N32" i="1"/>
  <c r="G32" i="6" s="1"/>
  <c r="I32" i="6" s="1"/>
  <c r="M32" i="1"/>
  <c r="F32" i="6" s="1"/>
  <c r="H32" i="6" s="1"/>
  <c r="L32" i="1"/>
  <c r="N31" i="1"/>
  <c r="G31" i="6" s="1"/>
  <c r="I31" i="6" s="1"/>
  <c r="M31" i="1"/>
  <c r="F31" i="6" s="1"/>
  <c r="H31" i="6" s="1"/>
  <c r="L31" i="1"/>
  <c r="J32" i="1"/>
  <c r="I32" i="1"/>
  <c r="J31" i="1"/>
  <c r="I31" i="1"/>
  <c r="H32" i="1"/>
  <c r="D32" i="6" s="1"/>
  <c r="E32" i="6" s="1"/>
  <c r="H31" i="1"/>
  <c r="D31" i="6" s="1"/>
  <c r="E31" i="6" s="1"/>
  <c r="R28" i="1"/>
  <c r="Q28" i="1"/>
  <c r="P28" i="1"/>
  <c r="R27" i="1"/>
  <c r="Q27" i="1"/>
  <c r="P27" i="1"/>
  <c r="N28" i="1"/>
  <c r="G28" i="6" s="1"/>
  <c r="I28" i="6" s="1"/>
  <c r="M28" i="1"/>
  <c r="F28" i="6" s="1"/>
  <c r="H28" i="6" s="1"/>
  <c r="L28" i="1"/>
  <c r="N27" i="1"/>
  <c r="G27" i="6" s="1"/>
  <c r="I27" i="6" s="1"/>
  <c r="M27" i="1"/>
  <c r="F27" i="6" s="1"/>
  <c r="H27" i="6" s="1"/>
  <c r="L27" i="1"/>
  <c r="J28" i="1"/>
  <c r="I28" i="1"/>
  <c r="J27" i="1"/>
  <c r="I27" i="1"/>
  <c r="H28" i="1"/>
  <c r="D28" i="6" s="1"/>
  <c r="E28" i="6" s="1"/>
  <c r="H27" i="1"/>
  <c r="D27" i="6" s="1"/>
  <c r="E27" i="6" s="1"/>
  <c r="R23" i="1"/>
  <c r="Q23" i="1"/>
  <c r="P23" i="1"/>
  <c r="R22" i="1"/>
  <c r="Q22" i="1"/>
  <c r="P22" i="1"/>
  <c r="N23" i="1"/>
  <c r="G23" i="6" s="1"/>
  <c r="I23" i="6" s="1"/>
  <c r="M23" i="1"/>
  <c r="F23" i="6" s="1"/>
  <c r="H23" i="6" s="1"/>
  <c r="J23" i="6" s="1"/>
  <c r="L23" i="1"/>
  <c r="N22" i="1"/>
  <c r="G22" i="6" s="1"/>
  <c r="I22" i="6" s="1"/>
  <c r="M22" i="1"/>
  <c r="F22" i="6" s="1"/>
  <c r="H22" i="6" s="1"/>
  <c r="L22" i="1"/>
  <c r="J23" i="1"/>
  <c r="I23" i="1"/>
  <c r="J22" i="1"/>
  <c r="I22" i="1"/>
  <c r="H23" i="1"/>
  <c r="D23" i="6" s="1"/>
  <c r="E23" i="6" s="1"/>
  <c r="H22" i="1"/>
  <c r="D22" i="6" s="1"/>
  <c r="E22" i="6" s="1"/>
  <c r="R26" i="1"/>
  <c r="Q26" i="1"/>
  <c r="P26" i="1"/>
  <c r="R25" i="1"/>
  <c r="Q25" i="1"/>
  <c r="P25" i="1"/>
  <c r="N26" i="1"/>
  <c r="G26" i="6" s="1"/>
  <c r="I26" i="6" s="1"/>
  <c r="M26" i="1"/>
  <c r="F26" i="6" s="1"/>
  <c r="H26" i="6" s="1"/>
  <c r="L26" i="1"/>
  <c r="N25" i="1"/>
  <c r="G25" i="6" s="1"/>
  <c r="I25" i="6" s="1"/>
  <c r="M25" i="1"/>
  <c r="F25" i="6" s="1"/>
  <c r="H25" i="6" s="1"/>
  <c r="L25" i="1"/>
  <c r="J26" i="1"/>
  <c r="I26" i="1"/>
  <c r="J25" i="1"/>
  <c r="I25" i="1"/>
  <c r="H26" i="1"/>
  <c r="D26" i="6" s="1"/>
  <c r="E26" i="6" s="1"/>
  <c r="H25" i="1"/>
  <c r="D25" i="6" s="1"/>
  <c r="E25" i="6" s="1"/>
  <c r="R21" i="1"/>
  <c r="Q21" i="1"/>
  <c r="P21" i="1"/>
  <c r="R20" i="1"/>
  <c r="Q20" i="1"/>
  <c r="P20" i="1"/>
  <c r="N21" i="1"/>
  <c r="G21" i="6" s="1"/>
  <c r="I21" i="6" s="1"/>
  <c r="M21" i="1"/>
  <c r="F21" i="6" s="1"/>
  <c r="H21" i="6" s="1"/>
  <c r="L21" i="1"/>
  <c r="N20" i="1"/>
  <c r="G20" i="6" s="1"/>
  <c r="I20" i="6" s="1"/>
  <c r="M20" i="1"/>
  <c r="F20" i="6" s="1"/>
  <c r="H20" i="6" s="1"/>
  <c r="L20" i="1"/>
  <c r="J21" i="1"/>
  <c r="I21" i="1"/>
  <c r="J20" i="1"/>
  <c r="I20" i="1"/>
  <c r="H21" i="1"/>
  <c r="D21" i="6" s="1"/>
  <c r="E21" i="6" s="1"/>
  <c r="H20" i="1"/>
  <c r="D20" i="6" s="1"/>
  <c r="E20" i="6" s="1"/>
  <c r="R19" i="1"/>
  <c r="Q19" i="1"/>
  <c r="P19" i="1"/>
  <c r="R18" i="1"/>
  <c r="Q18" i="1"/>
  <c r="P18" i="1"/>
  <c r="N19" i="1"/>
  <c r="G19" i="6" s="1"/>
  <c r="I19" i="6" s="1"/>
  <c r="M19" i="1"/>
  <c r="F19" i="6" s="1"/>
  <c r="H19" i="6" s="1"/>
  <c r="L19" i="1"/>
  <c r="N18" i="1"/>
  <c r="G18" i="6" s="1"/>
  <c r="I18" i="6" s="1"/>
  <c r="M18" i="1"/>
  <c r="F18" i="6" s="1"/>
  <c r="H18" i="6" s="1"/>
  <c r="J18" i="6" s="1"/>
  <c r="L18" i="1"/>
  <c r="J19" i="1"/>
  <c r="I19" i="1"/>
  <c r="J18" i="1"/>
  <c r="I18" i="1"/>
  <c r="H19" i="1"/>
  <c r="D19" i="6" s="1"/>
  <c r="E19" i="6" s="1"/>
  <c r="H18" i="1"/>
  <c r="D18" i="6" s="1"/>
  <c r="E18" i="6" s="1"/>
  <c r="R17" i="1"/>
  <c r="Q17" i="1"/>
  <c r="P17" i="1"/>
  <c r="R16" i="1"/>
  <c r="Q16" i="1"/>
  <c r="P16" i="1"/>
  <c r="N17" i="1"/>
  <c r="G17" i="6" s="1"/>
  <c r="I17" i="6" s="1"/>
  <c r="M17" i="1"/>
  <c r="F17" i="6" s="1"/>
  <c r="H17" i="6" s="1"/>
  <c r="L17" i="1"/>
  <c r="N16" i="1"/>
  <c r="G16" i="6" s="1"/>
  <c r="I16" i="6" s="1"/>
  <c r="M16" i="1"/>
  <c r="F16" i="6" s="1"/>
  <c r="H16" i="6" s="1"/>
  <c r="L16" i="1"/>
  <c r="J17" i="1"/>
  <c r="I17" i="1"/>
  <c r="J16" i="1"/>
  <c r="I16" i="1"/>
  <c r="H17" i="1"/>
  <c r="D17" i="6" s="1"/>
  <c r="E17" i="6" s="1"/>
  <c r="H16" i="1"/>
  <c r="D16" i="6" s="1"/>
  <c r="E16" i="6" s="1"/>
  <c r="O69" i="6" l="1"/>
  <c r="P69" i="6"/>
  <c r="P68" i="6"/>
  <c r="P67" i="6"/>
  <c r="P66" i="6"/>
  <c r="P65" i="6"/>
  <c r="O64" i="6"/>
  <c r="P64" i="6" s="1"/>
  <c r="O62" i="6"/>
  <c r="P62" i="6" s="1"/>
  <c r="O63" i="6"/>
  <c r="P63" i="6" s="1"/>
  <c r="O61" i="6"/>
  <c r="P61" i="6" s="1"/>
  <c r="O58" i="6"/>
  <c r="P58" i="6" s="1"/>
  <c r="O59" i="6"/>
  <c r="P59" i="6" s="1"/>
  <c r="O54" i="6"/>
  <c r="P54" i="6" s="1"/>
  <c r="P55" i="6"/>
  <c r="O50" i="6"/>
  <c r="P50" i="6" s="1"/>
  <c r="O51" i="6"/>
  <c r="P51" i="6"/>
  <c r="O48" i="6"/>
  <c r="P48" i="6" s="1"/>
  <c r="O49" i="6"/>
  <c r="P49" i="6" s="1"/>
  <c r="O46" i="6"/>
  <c r="P46" i="6" s="1"/>
  <c r="O45" i="6"/>
  <c r="P45" i="6" s="1"/>
  <c r="P43" i="6"/>
  <c r="O41" i="6"/>
  <c r="O42" i="6"/>
  <c r="P42" i="6"/>
  <c r="P41" i="6"/>
  <c r="N40" i="6"/>
  <c r="L40" i="6"/>
  <c r="N39" i="6"/>
  <c r="L39" i="6"/>
  <c r="M40" i="6"/>
  <c r="O40" i="6" s="1"/>
  <c r="K40" i="6"/>
  <c r="K39" i="6"/>
  <c r="M39" i="6"/>
  <c r="O39" i="6" s="1"/>
  <c r="L38" i="6"/>
  <c r="N38" i="6"/>
  <c r="N37" i="6"/>
  <c r="L37" i="6"/>
  <c r="K37" i="6"/>
  <c r="M37" i="6"/>
  <c r="O37" i="6" s="1"/>
  <c r="P37" i="6" s="1"/>
  <c r="M38" i="6"/>
  <c r="K38" i="6"/>
  <c r="L36" i="6"/>
  <c r="N36" i="6"/>
  <c r="N35" i="6"/>
  <c r="L35" i="6"/>
  <c r="K35" i="6"/>
  <c r="M35" i="6"/>
  <c r="O35" i="6" s="1"/>
  <c r="P35" i="6" s="1"/>
  <c r="M36" i="6"/>
  <c r="O36" i="6" s="1"/>
  <c r="P36" i="6" s="1"/>
  <c r="K36" i="6"/>
  <c r="N32" i="6"/>
  <c r="L32" i="6"/>
  <c r="L31" i="6"/>
  <c r="N31" i="6"/>
  <c r="M32" i="6"/>
  <c r="K32" i="6"/>
  <c r="K31" i="6"/>
  <c r="M31" i="6"/>
  <c r="O31" i="6" s="1"/>
  <c r="N27" i="6"/>
  <c r="L27" i="6"/>
  <c r="L28" i="6"/>
  <c r="N28" i="6"/>
  <c r="M27" i="6"/>
  <c r="K27" i="6"/>
  <c r="K28" i="6"/>
  <c r="M28" i="6"/>
  <c r="O28" i="6" s="1"/>
  <c r="N25" i="6"/>
  <c r="L25" i="6"/>
  <c r="N26" i="6"/>
  <c r="L26" i="6"/>
  <c r="M26" i="6"/>
  <c r="O26" i="6" s="1"/>
  <c r="K26" i="6"/>
  <c r="K25" i="6"/>
  <c r="M25" i="6"/>
  <c r="J40" i="6"/>
  <c r="J39" i="6"/>
  <c r="J31" i="6"/>
  <c r="J32" i="6"/>
  <c r="J28" i="6"/>
  <c r="J27" i="6"/>
  <c r="J25" i="6"/>
  <c r="J26" i="6"/>
  <c r="N23" i="6"/>
  <c r="L23" i="6"/>
  <c r="L22" i="6"/>
  <c r="N22" i="6"/>
  <c r="M22" i="6"/>
  <c r="K22" i="6"/>
  <c r="K23" i="6"/>
  <c r="M23" i="6"/>
  <c r="O23" i="6" s="1"/>
  <c r="P23" i="6" s="1"/>
  <c r="N21" i="6"/>
  <c r="L21" i="6"/>
  <c r="L20" i="6"/>
  <c r="N20" i="6"/>
  <c r="K20" i="6"/>
  <c r="M20" i="6"/>
  <c r="O20" i="6" s="1"/>
  <c r="M21" i="6"/>
  <c r="O21" i="6" s="1"/>
  <c r="K21" i="6"/>
  <c r="N19" i="6"/>
  <c r="L19" i="6"/>
  <c r="N18" i="6"/>
  <c r="L18" i="6"/>
  <c r="K19" i="6"/>
  <c r="M19" i="6"/>
  <c r="O19" i="6" s="1"/>
  <c r="M18" i="6"/>
  <c r="O18" i="6" s="1"/>
  <c r="P18" i="6" s="1"/>
  <c r="K18" i="6"/>
  <c r="N17" i="6"/>
  <c r="L17" i="6"/>
  <c r="N16" i="6"/>
  <c r="L16" i="6"/>
  <c r="M16" i="6"/>
  <c r="O16" i="6" s="1"/>
  <c r="P16" i="6" s="1"/>
  <c r="K16" i="6"/>
  <c r="M17" i="6"/>
  <c r="K17" i="6"/>
  <c r="J22" i="6"/>
  <c r="J21" i="6"/>
  <c r="J20" i="6"/>
  <c r="J19" i="6"/>
  <c r="J17" i="6"/>
  <c r="J16" i="6"/>
  <c r="R15" i="1"/>
  <c r="Q15" i="1"/>
  <c r="P15" i="1"/>
  <c r="R14" i="1"/>
  <c r="Q14" i="1"/>
  <c r="P14" i="1"/>
  <c r="N15" i="1"/>
  <c r="G15" i="6" s="1"/>
  <c r="I15" i="6" s="1"/>
  <c r="M15" i="1"/>
  <c r="F15" i="6" s="1"/>
  <c r="H15" i="6" s="1"/>
  <c r="L15" i="1"/>
  <c r="N14" i="1"/>
  <c r="G14" i="6" s="1"/>
  <c r="I14" i="6" s="1"/>
  <c r="M14" i="1"/>
  <c r="F14" i="6" s="1"/>
  <c r="H14" i="6" s="1"/>
  <c r="J14" i="6" s="1"/>
  <c r="L14" i="1"/>
  <c r="J15" i="1"/>
  <c r="I15" i="1"/>
  <c r="J14" i="1"/>
  <c r="I14" i="1"/>
  <c r="H15" i="1"/>
  <c r="D15" i="6" s="1"/>
  <c r="E15" i="6" s="1"/>
  <c r="H14" i="1"/>
  <c r="D14" i="6" s="1"/>
  <c r="E14" i="6" s="1"/>
  <c r="R13" i="1"/>
  <c r="Q13" i="1"/>
  <c r="P13" i="1"/>
  <c r="R12" i="1"/>
  <c r="Q12" i="1"/>
  <c r="P12" i="1"/>
  <c r="N13" i="1"/>
  <c r="G13" i="6" s="1"/>
  <c r="I13" i="6" s="1"/>
  <c r="M13" i="1"/>
  <c r="F13" i="6" s="1"/>
  <c r="H13" i="6" s="1"/>
  <c r="L13" i="1"/>
  <c r="N12" i="1"/>
  <c r="G12" i="6" s="1"/>
  <c r="I12" i="6" s="1"/>
  <c r="M12" i="1"/>
  <c r="F12" i="6" s="1"/>
  <c r="H12" i="6" s="1"/>
  <c r="L12" i="1"/>
  <c r="J13" i="1"/>
  <c r="I13" i="1"/>
  <c r="J12" i="1"/>
  <c r="I12" i="1"/>
  <c r="H13" i="1"/>
  <c r="D13" i="6" s="1"/>
  <c r="E13" i="6" s="1"/>
  <c r="H12" i="1"/>
  <c r="D12" i="6" s="1"/>
  <c r="E12" i="6" s="1"/>
  <c r="R9" i="1"/>
  <c r="Q9" i="1"/>
  <c r="P9" i="1"/>
  <c r="R8" i="1"/>
  <c r="Q8" i="1"/>
  <c r="P8" i="1"/>
  <c r="N9" i="1"/>
  <c r="G9" i="6" s="1"/>
  <c r="I9" i="6" s="1"/>
  <c r="M9" i="1"/>
  <c r="F9" i="6" s="1"/>
  <c r="H9" i="6" s="1"/>
  <c r="L9" i="1"/>
  <c r="N8" i="1"/>
  <c r="G8" i="6" s="1"/>
  <c r="I8" i="6" s="1"/>
  <c r="M8" i="1"/>
  <c r="F8" i="6" s="1"/>
  <c r="H8" i="6" s="1"/>
  <c r="L8" i="1"/>
  <c r="J9" i="1"/>
  <c r="I9" i="1"/>
  <c r="J8" i="1"/>
  <c r="I8" i="1"/>
  <c r="H9" i="1"/>
  <c r="D9" i="6" s="1"/>
  <c r="E9" i="6" s="1"/>
  <c r="H8" i="1"/>
  <c r="D8" i="6" s="1"/>
  <c r="E8" i="6" s="1"/>
  <c r="R5" i="1"/>
  <c r="Q5" i="1"/>
  <c r="P5" i="1"/>
  <c r="N5" i="1"/>
  <c r="G5" i="6" s="1"/>
  <c r="I5" i="6" s="1"/>
  <c r="M5" i="1"/>
  <c r="F5" i="6" s="1"/>
  <c r="H5" i="6" s="1"/>
  <c r="L5" i="1"/>
  <c r="J5" i="1"/>
  <c r="I5" i="1"/>
  <c r="H5" i="1"/>
  <c r="D5" i="6" s="1"/>
  <c r="E5" i="6" s="1"/>
  <c r="H4" i="1"/>
  <c r="D4" i="6" s="1"/>
  <c r="E4" i="6" s="1"/>
  <c r="R4" i="1"/>
  <c r="Q4" i="1"/>
  <c r="P4" i="1"/>
  <c r="N4" i="1"/>
  <c r="G4" i="6" s="1"/>
  <c r="I4" i="6" s="1"/>
  <c r="M4" i="1"/>
  <c r="F4" i="6" s="1"/>
  <c r="H4" i="6" s="1"/>
  <c r="L4" i="1"/>
  <c r="J4" i="1"/>
  <c r="I4" i="1"/>
  <c r="R3" i="1"/>
  <c r="Q3" i="1"/>
  <c r="P3" i="1"/>
  <c r="R2" i="1"/>
  <c r="Q2" i="1"/>
  <c r="P2" i="1"/>
  <c r="N3" i="1"/>
  <c r="G3" i="6" s="1"/>
  <c r="I3" i="6" s="1"/>
  <c r="M3" i="1"/>
  <c r="F3" i="6" s="1"/>
  <c r="H3" i="6" s="1"/>
  <c r="L3" i="1"/>
  <c r="N2" i="1"/>
  <c r="G2" i="6" s="1"/>
  <c r="I2" i="6" s="1"/>
  <c r="M2" i="1"/>
  <c r="F2" i="6" s="1"/>
  <c r="H2" i="6" s="1"/>
  <c r="L2" i="1"/>
  <c r="J3" i="1"/>
  <c r="I3" i="1"/>
  <c r="J2" i="1"/>
  <c r="I2" i="1"/>
  <c r="H3" i="1"/>
  <c r="D3" i="6" s="1"/>
  <c r="E3" i="6" s="1"/>
  <c r="H2" i="1"/>
  <c r="D2" i="6" s="1"/>
  <c r="E2" i="6" s="1"/>
  <c r="P39" i="6" l="1"/>
  <c r="P40" i="6"/>
  <c r="O38" i="6"/>
  <c r="P38" i="6" s="1"/>
  <c r="P32" i="6"/>
  <c r="O32" i="6"/>
  <c r="P31" i="6"/>
  <c r="O27" i="6"/>
  <c r="P27" i="6" s="1"/>
  <c r="P28" i="6"/>
  <c r="O25" i="6"/>
  <c r="P25" i="6" s="1"/>
  <c r="P26" i="6"/>
  <c r="O22" i="6"/>
  <c r="P22" i="6" s="1"/>
  <c r="P20" i="6"/>
  <c r="P21" i="6"/>
  <c r="P19" i="6"/>
  <c r="O17" i="6"/>
  <c r="P17" i="6" s="1"/>
  <c r="L15" i="6"/>
  <c r="N15" i="6"/>
  <c r="N14" i="6"/>
  <c r="L14" i="6"/>
  <c r="M14" i="6"/>
  <c r="K14" i="6"/>
  <c r="K15" i="6"/>
  <c r="M15" i="6"/>
  <c r="O15" i="6" s="1"/>
  <c r="L12" i="6"/>
  <c r="N12" i="6"/>
  <c r="L13" i="6"/>
  <c r="N13" i="6"/>
  <c r="M12" i="6"/>
  <c r="K12" i="6"/>
  <c r="M13" i="6"/>
  <c r="O13" i="6" s="1"/>
  <c r="P13" i="6" s="1"/>
  <c r="K13" i="6"/>
  <c r="L8" i="6"/>
  <c r="N8" i="6"/>
  <c r="L9" i="6"/>
  <c r="N9" i="6"/>
  <c r="M8" i="6"/>
  <c r="O8" i="6" s="1"/>
  <c r="K8" i="6"/>
  <c r="M9" i="6"/>
  <c r="O9" i="6" s="1"/>
  <c r="K9" i="6"/>
  <c r="L5" i="6"/>
  <c r="N5" i="6"/>
  <c r="N4" i="6"/>
  <c r="L4" i="6"/>
  <c r="M4" i="6"/>
  <c r="K4" i="6"/>
  <c r="M5" i="6"/>
  <c r="K5" i="6"/>
  <c r="L3" i="6"/>
  <c r="N3" i="6"/>
  <c r="L2" i="6"/>
  <c r="N2" i="6"/>
  <c r="M3" i="6"/>
  <c r="O3" i="6" s="1"/>
  <c r="K3" i="6"/>
  <c r="K2" i="6"/>
  <c r="M2" i="6"/>
  <c r="J15" i="6"/>
  <c r="J13" i="6"/>
  <c r="J12" i="6"/>
  <c r="J8" i="6"/>
  <c r="J9" i="6"/>
  <c r="J5" i="6"/>
  <c r="J4" i="6"/>
  <c r="J3" i="6"/>
  <c r="J2" i="6"/>
  <c r="O14" i="6" l="1"/>
  <c r="P14" i="6" s="1"/>
  <c r="P15" i="6"/>
  <c r="O12" i="6"/>
  <c r="P12" i="6" s="1"/>
  <c r="P8" i="6"/>
  <c r="P9" i="6"/>
  <c r="O5" i="6"/>
  <c r="P5" i="6" s="1"/>
  <c r="O4" i="6"/>
  <c r="P4" i="6" s="1"/>
  <c r="P3" i="6"/>
  <c r="O2" i="6"/>
  <c r="P2" i="6"/>
</calcChain>
</file>

<file path=xl/sharedStrings.xml><?xml version="1.0" encoding="utf-8"?>
<sst xmlns="http://schemas.openxmlformats.org/spreadsheetml/2006/main" count="2677" uniqueCount="357">
  <si>
    <t>COL</t>
  </si>
  <si>
    <t>CRC-AIM vs SimCRC</t>
  </si>
  <si>
    <t>Measure</t>
  </si>
  <si>
    <t>CRC-AIM vs MISCAN</t>
  </si>
  <si>
    <t>CRC-AIM vs CRC-SPIN</t>
  </si>
  <si>
    <t>Intercept</t>
  </si>
  <si>
    <t>Slope</t>
  </si>
  <si>
    <t>SimCRC vs MISCAN</t>
  </si>
  <si>
    <t>SimCRC vs CRC-SPIN</t>
  </si>
  <si>
    <t>MISCAN vs CRC-SPIN</t>
  </si>
  <si>
    <t>MISCAN vs SimCRC</t>
  </si>
  <si>
    <t>SURV COL</t>
  </si>
  <si>
    <t>Surveillance COL</t>
  </si>
  <si>
    <t>SYMPTOM COL</t>
  </si>
  <si>
    <t>Symptom COL</t>
  </si>
  <si>
    <t>Total COL</t>
  </si>
  <si>
    <t>Complications</t>
  </si>
  <si>
    <t>CRC Cases</t>
  </si>
  <si>
    <t>CRC Death</t>
  </si>
  <si>
    <t>CRC Deaths</t>
  </si>
  <si>
    <t>LY with CRC</t>
  </si>
  <si>
    <t>LYG</t>
  </si>
  <si>
    <t>CRC Mortality Reduction</t>
  </si>
  <si>
    <t>CRC Incidence Reduction</t>
  </si>
  <si>
    <t>CRC-SPIN vs SimCRC</t>
  </si>
  <si>
    <t>Passing-Bablok*</t>
  </si>
  <si>
    <t>-47.45 (-58.57, -41.29)</t>
  </si>
  <si>
    <t>0.76 (0.73, 0.81)</t>
  </si>
  <si>
    <t>240.75 (214.09, 259.81)</t>
  </si>
  <si>
    <t>0.54 (0.47, 0.67)</t>
  </si>
  <si>
    <t>CRC-SPIN vs MISCAN</t>
  </si>
  <si>
    <t>-28.50 (-34.46, -23.83)</t>
  </si>
  <si>
    <t>0.78 (0.76, 0.80)</t>
  </si>
  <si>
    <r>
      <t xml:space="preserve">CRC-AIM vs </t>
    </r>
    <r>
      <rPr>
        <b/>
        <sz val="11"/>
        <color theme="1"/>
        <rFont val="Calibri"/>
        <family val="2"/>
        <scheme val="minor"/>
      </rPr>
      <t>SimCRC</t>
    </r>
  </si>
  <si>
    <r>
      <t xml:space="preserve">CRC-SPIN vs </t>
    </r>
    <r>
      <rPr>
        <b/>
        <sz val="11"/>
        <color theme="1"/>
        <rFont val="Calibri"/>
        <family val="2"/>
        <scheme val="minor"/>
      </rPr>
      <t>SimCRC</t>
    </r>
  </si>
  <si>
    <r>
      <t xml:space="preserve">MISCAN vs </t>
    </r>
    <r>
      <rPr>
        <b/>
        <sz val="11"/>
        <color theme="1"/>
        <rFont val="Calibri"/>
        <family val="2"/>
        <scheme val="minor"/>
      </rPr>
      <t>SimCRC</t>
    </r>
  </si>
  <si>
    <r>
      <t xml:space="preserve">SimCRC vs </t>
    </r>
    <r>
      <rPr>
        <b/>
        <sz val="11"/>
        <color theme="1"/>
        <rFont val="Calibri"/>
        <family val="2"/>
        <scheme val="minor"/>
      </rPr>
      <t>CRC-SPIN</t>
    </r>
  </si>
  <si>
    <r>
      <t xml:space="preserve">MISCAN vs </t>
    </r>
    <r>
      <rPr>
        <b/>
        <sz val="11"/>
        <color theme="1"/>
        <rFont val="Calibri"/>
        <family val="2"/>
        <scheme val="minor"/>
      </rPr>
      <t>CRC-SPIN</t>
    </r>
  </si>
  <si>
    <r>
      <t xml:space="preserve">SimCRC vs </t>
    </r>
    <r>
      <rPr>
        <b/>
        <sz val="11"/>
        <color theme="1"/>
        <rFont val="Calibri"/>
        <family val="2"/>
        <scheme val="minor"/>
      </rPr>
      <t>MISCAN</t>
    </r>
  </si>
  <si>
    <r>
      <t xml:space="preserve">CRC-SPIN vs </t>
    </r>
    <r>
      <rPr>
        <b/>
        <sz val="11"/>
        <color theme="1"/>
        <rFont val="Calibri"/>
        <family val="2"/>
        <scheme val="minor"/>
      </rPr>
      <t>MISCAN</t>
    </r>
  </si>
  <si>
    <r>
      <rPr>
        <b/>
        <u/>
        <sz val="11"/>
        <color theme="1"/>
        <rFont val="Calibri"/>
        <family val="2"/>
        <scheme val="minor"/>
      </rPr>
      <t>Passing-Bablok Parameters</t>
    </r>
    <r>
      <rPr>
        <sz val="11"/>
        <color theme="1"/>
        <rFont val="Calibri"/>
        <family val="2"/>
        <scheme val="minor"/>
      </rPr>
      <t xml:space="preserve"> *(</t>
    </r>
    <r>
      <rPr>
        <sz val="8"/>
        <color theme="1"/>
        <rFont val="Calibri"/>
        <family val="2"/>
        <scheme val="minor"/>
      </rPr>
      <t>Denotes orthogonal regression. Passing-Bablock could not be generated</t>
    </r>
    <r>
      <rPr>
        <sz val="11"/>
        <color theme="1"/>
        <rFont val="Calibri"/>
        <family val="2"/>
        <scheme val="minor"/>
      </rPr>
      <t>)</t>
    </r>
  </si>
  <si>
    <t>Intepreting results:</t>
  </si>
  <si>
    <t>Regression coefficients can be interpreted as:</t>
  </si>
  <si>
    <r>
      <t xml:space="preserve">CRC-AIM vs </t>
    </r>
    <r>
      <rPr>
        <b/>
        <sz val="11"/>
        <color theme="1"/>
        <rFont val="Calibri"/>
        <family val="2"/>
        <scheme val="minor"/>
      </rPr>
      <t>MISCAN</t>
    </r>
  </si>
  <si>
    <t>eg if CISNET model's value were 0 for a given metric, what would CRC-AIM's value be? It would be negative.</t>
  </si>
  <si>
    <r>
      <rPr>
        <b/>
        <u/>
        <sz val="11"/>
        <color theme="1"/>
        <rFont val="Calibri"/>
        <family val="2"/>
        <scheme val="minor"/>
      </rPr>
      <t>Proportional bias:</t>
    </r>
    <r>
      <rPr>
        <sz val="11"/>
        <color theme="1"/>
        <rFont val="Calibri"/>
        <family val="2"/>
        <scheme val="minor"/>
      </rPr>
      <t xml:space="preserve"> slope that is non-1</t>
    </r>
  </si>
  <si>
    <r>
      <rPr>
        <b/>
        <u/>
        <sz val="11"/>
        <color theme="1"/>
        <rFont val="Calibri"/>
        <family val="2"/>
        <scheme val="minor"/>
      </rPr>
      <t>Systemic/systematic bias</t>
    </r>
    <r>
      <rPr>
        <sz val="11"/>
        <color theme="1"/>
        <rFont val="Calibri"/>
        <family val="2"/>
        <scheme val="minor"/>
      </rPr>
      <t xml:space="preserve">: Intercept that is non-0. </t>
    </r>
  </si>
  <si>
    <t>If intercept is negative, CRC-AIM gives values that are lower than CISNET by a constant amount.</t>
  </si>
  <si>
    <t>If intercept is positive, CRC-AIM gives values that are larger than CISNET by a constant amount.</t>
  </si>
  <si>
    <t>eg if CISNET model's value were 0 for a given metric, what would CRC-AIM's value be? It would be positive.</t>
  </si>
  <si>
    <r>
      <t xml:space="preserve">The differences between 2 model outcomes can also be influenced </t>
    </r>
    <r>
      <rPr>
        <b/>
        <sz val="11"/>
        <color theme="1"/>
        <rFont val="Calibri"/>
        <family val="2"/>
        <scheme val="minor"/>
      </rPr>
      <t>by the level of the measured outcome itself.</t>
    </r>
    <r>
      <rPr>
        <sz val="11"/>
        <color theme="1"/>
        <rFont val="Calibri"/>
        <family val="2"/>
        <scheme val="minor"/>
      </rPr>
      <t xml:space="preserve"> This is called "Proportional Bias."</t>
    </r>
  </si>
  <si>
    <t>If slope is greater than one, CRC-AIM gives values that are higher that CISNET's, by an amount proportional to the level of the measurement.</t>
  </si>
  <si>
    <t>eg as a metric increasese for CISNET, the gap between CRC-AIM's outcome vs CISNET's increases in a positive direction.</t>
  </si>
  <si>
    <t>If slope is less than one, CRC-AIM gives values that are lower than CISNET's, by an amount proportional to the level of the measurement.</t>
  </si>
  <si>
    <t>eg as metric increases for CISNET, the gap between CRC-AIM's outcomes vs CISNET's decreases ("CRC-AIM  -  CISNET" approaches "negative" values for given outcome, as CISNET value increases)</t>
  </si>
  <si>
    <t>These are regression estimates. Oftentimes, their effects can be overlooked when examining a Difference Plot, due to the scaling of the plot.</t>
  </si>
  <si>
    <t>For example: this is a plot of CRC-AM vs SimCRC number of COL</t>
  </si>
  <si>
    <t>Regression has an intercept of -77 (meaning CRC-AIM has a constant bias of -77 COL per 1000)</t>
  </si>
  <si>
    <t>Regression has a slope of 1.05, meaning as the number of COL increases, CRC-AIM "overshoots" the number of COL.</t>
  </si>
  <si>
    <t>You can see the widening gap versus the equality line (dashed line) in the left-hand plot, as number of COL increases.</t>
  </si>
  <si>
    <t>This is a proportional bias effect.</t>
  </si>
  <si>
    <t>The difference plot in the right-side graph also shows that, as mean COL increases, the difference between CRC-AIM and SimCRC increases.</t>
  </si>
  <si>
    <t>Same plot as above, zoomed in around Y intercept.  Systematic bias of -77.</t>
  </si>
  <si>
    <t>Proposed evaluation:</t>
  </si>
  <si>
    <t>If confidence interval of intercept does not contain 0, then evaluate the magnitude of CRC-AIM vs given CISNET "reference" model.</t>
  </si>
  <si>
    <t>If magnitude of error is within same magnitude of error of other CISNET models, then error is acceptable.</t>
  </si>
  <si>
    <t>Example: CRC-AIM vs SimCRC</t>
  </si>
  <si>
    <t xml:space="preserve">Example: </t>
  </si>
  <si>
    <t>However, the magnitude of this bias (28.50) is less than the magnitude of bias of either CRC-SPIN vs SimCRC (47.45) or MISCAN vs SimCRC (240.75).</t>
  </si>
  <si>
    <t>When comparing CRC-AIM to SimCRC, the LY with CRC shows a systemic bias of -28.50, and the CI does not contain 0 (95% CI -34.46 to -23.83)</t>
  </si>
  <si>
    <t>So, this bias is acceptable, because it's no worse than inter-model bias across CISNET.</t>
  </si>
  <si>
    <t>1) If the confidence interval of intercept contains 0, then not enough evidence to support a systemic bias.</t>
  </si>
  <si>
    <t>2) If the confidence interval of slope contains 1, then not enough evidence to support proportional bias.</t>
  </si>
  <si>
    <t>If confidence interval of slope does not contain 1, then evaluate the magnitude of CRC-AIM vs given CISNET "reference" model.</t>
  </si>
  <si>
    <t>Compare CRC-AIM vs given reference CISNET model, versus othter CISNET models against the same reference CISNET model.</t>
  </si>
  <si>
    <t>Compare CRC-AIM vs given reference CISNET model, versus other CISNET models against the same reference CISNET model.</t>
  </si>
  <si>
    <t>If the absolute deviation from a slope of 1 is within same magnitude of deviation of other CISNET models, then error is acceptable.</t>
  </si>
  <si>
    <t>Example:</t>
  </si>
  <si>
    <t>When comparing CRC-AIM to SimCRC, the LY with CRC shows a proportional bias of 0.76, and the CI does not contain 1 (95% CI 0.76 to 0.80).</t>
  </si>
  <si>
    <t>However, the magnitude of the absolute deviation from a slope of 1 (0.22) is less than the deviation of CRC-SPIN vs SimCRC (0.24) or MISCAN vs SimCRC (0.46).</t>
  </si>
  <si>
    <t>So, this proportional bias is acceptable, because it's no worse than inter-model bias across CISNET.</t>
  </si>
  <si>
    <t>note: no longer applicable</t>
  </si>
  <si>
    <t>LowerCL</t>
  </si>
  <si>
    <t>UpperCL</t>
  </si>
  <si>
    <t>Point</t>
  </si>
  <si>
    <t>CRC-AIM vs SimCRC Point</t>
  </si>
  <si>
    <t>CRC-AIM vs SimCRC LowerCL</t>
  </si>
  <si>
    <t>CRC-AIM vs SimCRC UpperCL</t>
  </si>
  <si>
    <t>CRC-AIM vs CRC-SPIN Point</t>
  </si>
  <si>
    <t>CRC-AIM vs CRC-SPIN LowerCL</t>
  </si>
  <si>
    <t>CRC-AIM vs CRC-SPIN UpperCL</t>
  </si>
  <si>
    <t>CRC-AIM vs MISCAN Point</t>
  </si>
  <si>
    <t>CRC-AIM vs MISCAN LowerCL</t>
  </si>
  <si>
    <t>CRC-AIM vs MISCAN UpperCL</t>
  </si>
  <si>
    <t>Ref Level</t>
  </si>
  <si>
    <t>Low</t>
  </si>
  <si>
    <t>High</t>
  </si>
  <si>
    <t>Analytically relevant value for COL</t>
  </si>
  <si>
    <t>CRC-AIM absolute bias</t>
  </si>
  <si>
    <t>Max CRC-SPIN absolute bias</t>
  </si>
  <si>
    <t>CRC-SPIN vs SimCRC Lower 95% CI</t>
  </si>
  <si>
    <t>CRC-SPIN vs SimCRC Upper 95% CI</t>
  </si>
  <si>
    <t>Max MISCAN absolute bias</t>
  </si>
  <si>
    <t>MISCAN vs SimCRC Lower 95% CI</t>
  </si>
  <si>
    <t>MISCAN vs SimCRC Upper 95% CI</t>
  </si>
  <si>
    <t>refer to difference plots</t>
  </si>
  <si>
    <t>CISNET numeric precision issue</t>
  </si>
  <si>
    <t>SimCRC vs CRC-SPIN Lower 95% CI</t>
  </si>
  <si>
    <t>SimCRC vs CRC-SPIN Upper 95% CI</t>
  </si>
  <si>
    <t>Max SimCRC absolute bias</t>
  </si>
  <si>
    <t>MISCAN vs CRC-SPIN Lower 95% CI</t>
  </si>
  <si>
    <t>MISCAN vs CRC-SPIN Upper 95% CI</t>
  </si>
  <si>
    <t>SimCRC vs MISCAN Lower 95% CI</t>
  </si>
  <si>
    <t>SimCRC vs MISCAN Upper 95% CI</t>
  </si>
  <si>
    <t>CRC-SPIN vs MISCAN Lower 95% CI</t>
  </si>
  <si>
    <t>CRC-SPIN vs MISCAN Upper 95% CI</t>
  </si>
  <si>
    <t>MODEL</t>
  </si>
  <si>
    <t>Strategies</t>
  </si>
  <si>
    <t>CRC-AIM</t>
  </si>
  <si>
    <t>COL 45-75, 5 (7)</t>
  </si>
  <si>
    <t>COL 45-75, 10 (4)</t>
  </si>
  <si>
    <t>COL 45-75, 15 (3)</t>
  </si>
  <si>
    <t>COL 45-80, 5 (8)</t>
  </si>
  <si>
    <t>COL 45-85, 5 (9)</t>
  </si>
  <si>
    <t>COL 45-85, 10 (5)</t>
  </si>
  <si>
    <t>COL 50-75, 5 (6)</t>
  </si>
  <si>
    <t>COL 50-75, 10 (3)</t>
  </si>
  <si>
    <t>COL 50-75, 15 (2)</t>
  </si>
  <si>
    <t>COL 50-80, 5 (7)</t>
  </si>
  <si>
    <t>COL 50-80, 10 (4)</t>
  </si>
  <si>
    <t>COL 50-80, 15 (3)</t>
  </si>
  <si>
    <t>COL 50-85, 5 (8)</t>
  </si>
  <si>
    <t>COL 55-75, 5 (5)</t>
  </si>
  <si>
    <t>COL 55-75, 10 (3)</t>
  </si>
  <si>
    <t>COL 55-75, 15 (2)</t>
  </si>
  <si>
    <t>COL 55-80, 5 (6)</t>
  </si>
  <si>
    <t>COL 55-85, 5 (7)</t>
  </si>
  <si>
    <t>COL 55-85, 10 (4)</t>
  </si>
  <si>
    <t>COL 55-85, 15 (3)</t>
  </si>
  <si>
    <t>Frontier?</t>
  </si>
  <si>
    <t>CRC-SPIN</t>
  </si>
  <si>
    <t>SimCRC</t>
  </si>
  <si>
    <t>MISCAN</t>
  </si>
  <si>
    <t>ON</t>
  </si>
  <si>
    <t>OFF</t>
  </si>
  <si>
    <t>WD</t>
  </si>
  <si>
    <t>NE</t>
  </si>
  <si>
    <t>Agreement Analysis</t>
  </si>
  <si>
    <t>ON Frontier</t>
  </si>
  <si>
    <t>Near-Efficient</t>
  </si>
  <si>
    <t>OFF Frontier</t>
  </si>
  <si>
    <t>Sim-CRC</t>
  </si>
  <si>
    <t>NPA</t>
  </si>
  <si>
    <t>PPA</t>
  </si>
  <si>
    <t>OPA</t>
  </si>
  <si>
    <t>Where Near-Efficient = OFF Frontier</t>
  </si>
  <si>
    <t>3x3 Table</t>
  </si>
  <si>
    <t>2x2 Table</t>
  </si>
  <si>
    <t>Lower 2-sided 95% CI (Score)</t>
  </si>
  <si>
    <t>Upper 2-sided 95% CI (Score)</t>
  </si>
  <si>
    <t>Where Near-Efficient = ON Frontier (more practical interpretation)</t>
  </si>
  <si>
    <r>
      <rPr>
        <b/>
        <sz val="11"/>
        <color rgb="FFFF0000"/>
        <rFont val="Calibri"/>
        <family val="2"/>
        <scheme val="minor"/>
      </rPr>
      <t>SimCRC</t>
    </r>
    <r>
      <rPr>
        <b/>
        <sz val="11"/>
        <color theme="1"/>
        <rFont val="Calibri"/>
        <family val="2"/>
        <scheme val="minor"/>
      </rPr>
      <t xml:space="preserve"> as Comparator model, Other Models as Candidate models</t>
    </r>
  </si>
  <si>
    <r>
      <rPr>
        <b/>
        <sz val="11"/>
        <color rgb="FFFF0000"/>
        <rFont val="Calibri"/>
        <family val="2"/>
        <scheme val="minor"/>
      </rPr>
      <t>CRC-SPIN</t>
    </r>
    <r>
      <rPr>
        <b/>
        <sz val="11"/>
        <color theme="1"/>
        <rFont val="Calibri"/>
        <family val="2"/>
        <scheme val="minor"/>
      </rPr>
      <t xml:space="preserve"> as Comparator model, Other Models as Candidate models</t>
    </r>
  </si>
  <si>
    <r>
      <rPr>
        <b/>
        <sz val="11"/>
        <color rgb="FFFF0000"/>
        <rFont val="Calibri"/>
        <family val="2"/>
        <scheme val="minor"/>
      </rPr>
      <t>MISCAN</t>
    </r>
    <r>
      <rPr>
        <b/>
        <sz val="11"/>
        <color theme="1"/>
        <rFont val="Calibri"/>
        <family val="2"/>
        <scheme val="minor"/>
      </rPr>
      <t xml:space="preserve"> as Comparator model, Other Models as Candidate models</t>
    </r>
  </si>
  <si>
    <t>Total COLs</t>
  </si>
  <si>
    <t>Remove strongly dominated</t>
  </si>
  <si>
    <t>Identify weakly dominated (recursive)</t>
  </si>
  <si>
    <t>incLYG/incCOL (frontier)</t>
  </si>
  <si>
    <t>For WD, LYG on Frontier at WD COL</t>
  </si>
  <si>
    <t>%LYG for Converting Weakly Dominated to Near Efficient</t>
  </si>
  <si>
    <t>FrontierStatus</t>
  </si>
  <si>
    <t>Strongly Dominated</t>
  </si>
  <si>
    <t>Weakly Dominated</t>
  </si>
  <si>
    <t>incCOL/incLYG for Near Efficient</t>
  </si>
  <si>
    <t>Measure (SimCRC as Comparator)</t>
  </si>
  <si>
    <t>Measure (CRC-SPIN as Comparator)</t>
  </si>
  <si>
    <t>Measure (MISCAN as Comparator)</t>
  </si>
  <si>
    <t>CRC-AIM (candidate) vs SimCRC (comparator)</t>
  </si>
  <si>
    <t>Lower CI Diff vs Comparator</t>
  </si>
  <si>
    <t>Upper CI Diff vs Comparator</t>
  </si>
  <si>
    <t>CRC-AIM within bias of CISNET, if SimCRC is comparator model?</t>
  </si>
  <si>
    <t>CRC-AIM within bias of CISNET, if CRC-SPIN is comparator model?</t>
  </si>
  <si>
    <t>CRC-AIM (candidate) vs CRC-SPIN (comparator)</t>
  </si>
  <si>
    <t>CRC-AIM (candidate) vs MISCAN (comparator)</t>
  </si>
  <si>
    <t>"Sim-CRC as the comparator model"</t>
  </si>
  <si>
    <t>"CRC-SPIN as the comparator model"</t>
  </si>
  <si>
    <t>"MISCAN as the comparator model"</t>
  </si>
  <si>
    <t>Comparator (SimCRC) Level</t>
  </si>
  <si>
    <t>Comparator (CRC-SPIN) Level</t>
  </si>
  <si>
    <t>Functionally irrelevant, since Total COL bias is fine</t>
  </si>
  <si>
    <t>Version 1.0 (01.24.2020)</t>
  </si>
  <si>
    <t>Age to Begin Screening</t>
  </si>
  <si>
    <t>CISNET (AHRQ):</t>
  </si>
  <si>
    <t>CRC-AIM in red</t>
  </si>
  <si>
    <t>Incremental LYG</t>
  </si>
  <si>
    <t>Evaluation 1:</t>
  </si>
  <si>
    <t>COL 45-75, 10; LYG</t>
  </si>
  <si>
    <t>COL 50-75, 10; LYG</t>
  </si>
  <si>
    <t>COL 50-75, 10; Total COL</t>
  </si>
  <si>
    <t>COL 45-75, 10; Total COL</t>
  </si>
  <si>
    <t>Incremental COL</t>
  </si>
  <si>
    <t>FIT 50-75, 1; LYG</t>
  </si>
  <si>
    <t>FIT 45-75, 1; LYG</t>
  </si>
  <si>
    <t>FIT 50-75, 1; Total COL</t>
  </si>
  <si>
    <t>FIT 45-75, 1; Total COL</t>
  </si>
  <si>
    <r>
      <t>"All else equal, the number of life-years gained from colorectal cancer screening and the number of colonoscopies required increased as the age to begin screening was lowered from age 55 to age 50 to age 45. For example, lowering the age to begin screening from age 50 to age 45 yielded 15-28 (</t>
    </r>
    <r>
      <rPr>
        <sz val="11"/>
        <color rgb="FFFF0000"/>
        <rFont val="Calibri"/>
        <family val="2"/>
        <scheme val="minor"/>
      </rPr>
      <t>24</t>
    </r>
    <r>
      <rPr>
        <sz val="11"/>
        <color theme="1"/>
        <rFont val="Calibri"/>
        <family val="2"/>
        <scheme val="minor"/>
      </rPr>
      <t>) additional life-years gained and required an additional 827-856 (</t>
    </r>
    <r>
      <rPr>
        <sz val="11"/>
        <color rgb="FFFF0000"/>
        <rFont val="Calibri"/>
        <family val="2"/>
        <scheme val="minor"/>
      </rPr>
      <t>839</t>
    </r>
    <r>
      <rPr>
        <sz val="11"/>
        <color theme="1"/>
        <rFont val="Calibri"/>
        <family val="2"/>
        <scheme val="minor"/>
      </rPr>
      <t>) colonoscopies per 1,000 for colonoscopy every 10 years to age 75; for annual FIT to age 75, initiating screening at age 45 instead of age 50 yielded 16-27 (</t>
    </r>
    <r>
      <rPr>
        <sz val="11"/>
        <color rgb="FFFF0000"/>
        <rFont val="Calibri"/>
        <family val="2"/>
        <scheme val="minor"/>
      </rPr>
      <t>23</t>
    </r>
    <r>
      <rPr>
        <sz val="11"/>
        <color theme="1"/>
        <rFont val="Calibri"/>
        <family val="2"/>
        <scheme val="minor"/>
      </rPr>
      <t>) additional life-years per 1,000 and 238-263 (</t>
    </r>
    <r>
      <rPr>
        <sz val="11"/>
        <color rgb="FFFF0000"/>
        <rFont val="Calibri"/>
        <family val="2"/>
        <scheme val="minor"/>
      </rPr>
      <t>250</t>
    </r>
    <r>
      <rPr>
        <sz val="11"/>
        <color theme="1"/>
        <rFont val="Calibri"/>
        <family val="2"/>
        <scheme val="minor"/>
      </rPr>
      <t>) additional colonoscopies per 1,000."</t>
    </r>
  </si>
  <si>
    <t>Evaluation 2:</t>
  </si>
  <si>
    <t>COL 45-75, 15; LYG</t>
  </si>
  <si>
    <t>COL 45-75, 15; Total COL</t>
  </si>
  <si>
    <t>Evaluation 3:</t>
  </si>
  <si>
    <t>"For all other screening modalities, both MISCAN and CRC-SPIN predicted fewer life-years gained when the age to begin screening was lowered from 50 to 45 and the screening interval was extended to the next shortest interval, while SimCRC continued to find the same or more life-years gained."</t>
  </si>
  <si>
    <t>FIT 45-75, 2; LYG</t>
  </si>
  <si>
    <r>
      <t>"For colonoscopy screening however, two of the three models (SimCRC and CRC-SPIN) (</t>
    </r>
    <r>
      <rPr>
        <sz val="11"/>
        <color rgb="FFFF0000"/>
        <rFont val="Calibri"/>
        <family val="2"/>
        <scheme val="minor"/>
      </rPr>
      <t>and CRC-AIM</t>
    </r>
    <r>
      <rPr>
        <sz val="11"/>
        <color theme="1"/>
        <rFont val="Calibri"/>
        <family val="2"/>
        <scheme val="minor"/>
      </rPr>
      <t>) found that lowering the age to begin screening to age 45 and lengthening the screening interval to 15 years maintained the same or slightly more life-years gained as colonoscopy screening every 10 years from age 50 without increasing the lifetime number of colonoscopies (i.e., 279-288 (</t>
    </r>
    <r>
      <rPr>
        <sz val="11"/>
        <color rgb="FFFF0000"/>
        <rFont val="Calibri"/>
        <family val="2"/>
        <scheme val="minor"/>
      </rPr>
      <t>305</t>
    </r>
    <r>
      <rPr>
        <sz val="11"/>
        <color theme="1"/>
        <rFont val="Calibri"/>
        <family val="2"/>
        <scheme val="minor"/>
      </rPr>
      <t>) life-years gained and 4,009-4,081 (</t>
    </r>
    <r>
      <rPr>
        <sz val="11"/>
        <color rgb="FFFF0000"/>
        <rFont val="Calibri"/>
        <family val="2"/>
        <scheme val="minor"/>
      </rPr>
      <t>4,037</t>
    </r>
    <r>
      <rPr>
        <sz val="11"/>
        <color theme="1"/>
        <rFont val="Calibri"/>
        <family val="2"/>
        <scheme val="minor"/>
      </rPr>
      <t>) colonoscopies per 1,000 with “COL 45-75, 15” vs. 270-275 (</t>
    </r>
    <r>
      <rPr>
        <sz val="11"/>
        <color rgb="FFFF0000"/>
        <rFont val="Calibri"/>
        <family val="2"/>
        <scheme val="minor"/>
      </rPr>
      <t>293</t>
    </r>
    <r>
      <rPr>
        <sz val="11"/>
        <color theme="1"/>
        <rFont val="Calibri"/>
        <family val="2"/>
        <scheme val="minor"/>
      </rPr>
      <t>) life-years gained and 4,007-4,049 (</t>
    </r>
    <r>
      <rPr>
        <sz val="11"/>
        <color rgb="FFFF0000"/>
        <rFont val="Calibri"/>
        <family val="2"/>
        <scheme val="minor"/>
      </rPr>
      <t>4023</t>
    </r>
    <r>
      <rPr>
        <sz val="11"/>
        <color theme="1"/>
        <rFont val="Calibri"/>
        <family val="2"/>
        <scheme val="minor"/>
      </rPr>
      <t>) colonoscopies per 1,000 with “COL 50-75, 10;” both strategies require three screening colonoscopies per lifetime). 
In MISCAN, starting colonoscopy screening earlier and extending the interval yielded slightly fewer life-years gained (244 life-years gained per 1,000 with “COL 45-75, 15” vs. 248 per 1,000 with “COL 50-75, 10”)."</t>
    </r>
  </si>
  <si>
    <t>gFOBT 50-75, 1; LYG</t>
  </si>
  <si>
    <t>gFOBT 45-75, 2; LYG</t>
  </si>
  <si>
    <t>mtsDNA 50-75, 1; LYG</t>
  </si>
  <si>
    <t>FIT 50-75, 1 (26)</t>
  </si>
  <si>
    <t>gFOBT 50-75, 1 (26)</t>
  </si>
  <si>
    <t>mtsDNA 50-75, 3 (9)</t>
  </si>
  <si>
    <t>mtsDNA 45-75, 3; LYG</t>
  </si>
  <si>
    <t>mtsDNA 50-75, 1 (26)</t>
  </si>
  <si>
    <t>"While the models were discordant for lowering the age to begin screening and extending the screening interval, all three models found that strategies in which colorectal cancer screening begins at age 45 predominated on the efficient frontier, that is, they generally provided additional years of life at a lower number of additional colonoscopies than strategies in which screening begins at a later age. This is illustrated by the observation that the efficient frontiers including all three ages to begin screening reside above the efficient frontiers excluding strategies with screening beginning at age 45."</t>
  </si>
  <si>
    <t>Evaluation 5:</t>
  </si>
  <si>
    <t>Evaluation 4, Part 1:</t>
  </si>
  <si>
    <t>Evaluation 4, Part 2:</t>
  </si>
  <si>
    <t>Strategy</t>
  </si>
  <si>
    <t>Table</t>
  </si>
  <si>
    <t>Global (all strategies)</t>
  </si>
  <si>
    <r>
      <t xml:space="preserve">"The USPSTF members considered these findings, noting that the additional life-years gained from starting screening at age 45 are small relative to the additional number of additional colonoscopies and that there continues to be insufficient empiric data to support lowering the recommended age to begin colorectal cancer screening from 50 to 45, </t>
    </r>
    <r>
      <rPr>
        <b/>
        <sz val="11"/>
        <color rgb="FFFF0000"/>
        <rFont val="Calibri"/>
        <family val="2"/>
        <scheme val="minor"/>
      </rPr>
      <t>as well as insufficient evidence to support a 15-year colonoscopy screening interval</t>
    </r>
    <r>
      <rPr>
        <sz val="11"/>
        <color rgb="FFFF0000"/>
        <rFont val="Calibri"/>
        <family val="2"/>
        <scheme val="minor"/>
      </rPr>
      <t>.</t>
    </r>
    <r>
      <rPr>
        <sz val="11"/>
        <color theme="1"/>
        <rFont val="Calibri"/>
        <family val="2"/>
        <scheme val="minor"/>
      </rPr>
      <t xml:space="preserve"> As a result, in consultation with the USPSTF members, we present subsequent analyses for strategies with age to begin screening of 50 or 55."</t>
    </r>
  </si>
  <si>
    <t>MISCAN is discordant with recommended COL interval</t>
  </si>
  <si>
    <t>inc COL/LYG</t>
  </si>
  <si>
    <t>(Excel author's note: this pattern doesn't always hold; e.g. mtsDNA 50-75 3yr vs mtsDNA 50-75 5yr)</t>
  </si>
  <si>
    <t>(Excel author's note: only evaluating stool class here, since it's a priority. The AHRQ comment should apply to other screen classes as well.)</t>
  </si>
  <si>
    <t>(Excel author's note: this evaluation is a bit nonsensical, since the age could be lowered, keeping the screen interval constant)</t>
  </si>
  <si>
    <t>(Excel author's note: on solid black line (frontier generated from all 3 ages to begin screening), most strategies are square-shaped (start age of 45))</t>
  </si>
  <si>
    <t>(Excel author's note: the frontier with solid black line (all 3 ages to begin screening) resides above dashed line (frontier in which start age is 50 or 55 only))</t>
  </si>
  <si>
    <r>
      <t xml:space="preserve">"The USPSTF members considered these findings, noting that the </t>
    </r>
    <r>
      <rPr>
        <b/>
        <sz val="11"/>
        <color theme="1"/>
        <rFont val="Calibri"/>
        <family val="2"/>
        <scheme val="minor"/>
      </rPr>
      <t>additional life-years gained from starting screening at age 45 are small relative to the additional number of additional colonoscopies</t>
    </r>
    <r>
      <rPr>
        <sz val="11"/>
        <color theme="1"/>
        <rFont val="Calibri"/>
        <family val="2"/>
        <scheme val="minor"/>
      </rPr>
      <t xml:space="preserve"> and that there continues to be insufficient empiric data to support lowering the recommended age to begin colorectal cancer screening from 50 to 45, as well as insufficient evidence to support a 15-year colonoscopy screening interval. As a result, in consultation with the USPSTF members, we present subsequent analyses for strategies with age to begin screening of 50 or 55."</t>
    </r>
  </si>
  <si>
    <t>incCOL/incLYG ratio</t>
  </si>
  <si>
    <t>CISNET (Knudsen 2016)</t>
  </si>
  <si>
    <t>(Excel author's note: since Evaluation 2 shows a very preferable ratio of incCOL per inc LYG for 2 of 3 CISNET models when screen age is lowered from 50 to 45 but screen interval is lengthened from 10 to 15 years [CRC-SPIN: 3.2 inc COL/incLYG; SimCRC: 0.15 incCOL/incLYG], we assume USPSTF is looking at comparable COL intervals (ie 10 year) for this conclusion. This assumption is supported by additional clarification in Knudsen 2016)</t>
  </si>
  <si>
    <r>
      <t>For all modalities, strategies with screening beginning at age 45 years predominated on the efficient frontier; that is, they generally provided additional LYG at a lower number of additional colonoscopies than strategies with screening beginning at later ages. However, the additional LYG from starting screening at age 45 years instead of 50 years were small relative to the additional number of colonoscopies. For example, with colonoscopy screening every 10 years to age 75 years, lowering the age to begin screening from age 50 to age 45 years yielded 15 to 28 (</t>
    </r>
    <r>
      <rPr>
        <sz val="11"/>
        <color rgb="FFFF0000"/>
        <rFont val="Calibri"/>
        <family val="2"/>
        <scheme val="minor"/>
      </rPr>
      <t>24</t>
    </r>
    <r>
      <rPr>
        <sz val="11"/>
        <color theme="1"/>
        <rFont val="Calibri"/>
        <family val="2"/>
        <scheme val="minor"/>
      </rPr>
      <t>) additional LYG per 1000 and required an additional 827 to 856 (</t>
    </r>
    <r>
      <rPr>
        <sz val="11"/>
        <color rgb="FFFF0000"/>
        <rFont val="Calibri"/>
        <family val="2"/>
        <scheme val="minor"/>
      </rPr>
      <t>839</t>
    </r>
    <r>
      <rPr>
        <sz val="11"/>
        <color theme="1"/>
        <rFont val="Calibri"/>
        <family val="2"/>
        <scheme val="minor"/>
      </rPr>
      <t>) colonoscopies per 1000.</t>
    </r>
  </si>
  <si>
    <r>
      <t xml:space="preserve">Excel author's note: even if screen interval is held constant when screen age is dropped from 50 to 45, the ratio of burden to </t>
    </r>
    <r>
      <rPr>
        <b/>
        <sz val="11"/>
        <color theme="1"/>
        <rFont val="Calibri"/>
        <family val="2"/>
        <scheme val="minor"/>
      </rPr>
      <t>benefit is still generally preferable</t>
    </r>
    <r>
      <rPr>
        <sz val="11"/>
        <color theme="1"/>
        <rFont val="Calibri"/>
        <family val="2"/>
        <scheme val="minor"/>
      </rPr>
      <t>, indicating USPSTF's conclusion from modeling results was not correct, and was more likely based on lack of empirical evidence.</t>
    </r>
  </si>
  <si>
    <t>USPSTF (Bibbins-Domingo 2016)</t>
  </si>
  <si>
    <r>
      <t>Microsimulation analyses performed by CISNET suggest that starting colorectal cancer screening at age 45 years rather than 50 years is estimated to yield a modest increase in life-years gained and a more efficient balance between life-years gained and lifetime number of colonoscopies (a proxy measure for the burden of screening).2 However, across the different screening methods, lowering the age at which to begin screening to 45 years while maintaining the same screening interval resulted in an estimated increase in the lifetime number of colonoscopies.</t>
    </r>
    <r>
      <rPr>
        <b/>
        <sz val="11"/>
        <color theme="1"/>
        <rFont val="Calibri"/>
        <family val="2"/>
        <scheme val="minor"/>
      </rPr>
      <t xml:space="preserve"> In the case of screening colonoscopy, 2 of the 3 models found that by starting screening at age 45 years, the screening interval could be extended from 10 to 15 years. Doing so maintained the same (or slightly more) life-years gained as performing colonoscopy every 10 years starting at</t>
    </r>
    <r>
      <rPr>
        <sz val="11"/>
        <color theme="1"/>
        <rFont val="Calibri"/>
        <family val="2"/>
        <scheme val="minor"/>
      </rPr>
      <t xml:space="preserve"> </t>
    </r>
    <r>
      <rPr>
        <b/>
        <sz val="11"/>
        <color theme="1"/>
        <rFont val="Calibri"/>
        <family val="2"/>
        <scheme val="minor"/>
      </rPr>
      <t>age 50 years without increasing the lifetime number of colonoscopies. However, 1 model estimated a slight loss in life years gained with a longer screening interval and an earlier age at which to begin screening.</t>
    </r>
    <r>
      <rPr>
        <vertAlign val="superscript"/>
        <sz val="11"/>
        <color theme="1"/>
        <rFont val="Calibri"/>
        <family val="2"/>
        <scheme val="minor"/>
      </rPr>
      <t>2</t>
    </r>
    <r>
      <rPr>
        <sz val="11"/>
        <color theme="1"/>
        <rFont val="Calibri"/>
        <family val="2"/>
        <scheme val="minor"/>
      </rPr>
      <t xml:space="preserve">  
The USPSTF considered these findings and concluded that the evidence best supports a starting age of 50 years for the general population, noting the modest increase in life-years gained by starting screening earlier, the discordant findings across models for extending the screening intervalwhen theageatwhich to begin screening is lowered, and the lack of empirical evidence in younger populations.</t>
    </r>
  </si>
  <si>
    <t>If Screening window became 45 to 75, then the recommended COL interval would be…(assuming an efficiency threshold of ~50 incCOL/incLYG:</t>
  </si>
  <si>
    <t>Above a threshold of 50 incCOL/incLYG, and discordant interval</t>
  </si>
  <si>
    <t>This MISCAN outcome was an issue, in addition to the 45-75 COL strategy that was actually on the frontier for MISCAN (10-yr COL, opposed to 15-yr COL)</t>
  </si>
  <si>
    <t>Age to End Screening</t>
  </si>
  <si>
    <t>FIT 50-80, 1; LYG</t>
  </si>
  <si>
    <t>FIT 50-75, 1; COL</t>
  </si>
  <si>
    <t>FIT 50-80, 1; COL</t>
  </si>
  <si>
    <t>% Increase LYG</t>
  </si>
  <si>
    <t>FIT 50-80, 1 (31)</t>
  </si>
  <si>
    <t>FIT 50-85, 1 (36)</t>
  </si>
  <si>
    <t>% Increase COL</t>
  </si>
  <si>
    <t>FIT 50-75, 1; Stool Tests</t>
  </si>
  <si>
    <t>FIT 50-80, 1; Stool Tests</t>
  </si>
  <si>
    <t>Incremental Stool Tests</t>
  </si>
  <si>
    <t>% Increase Stool Tests</t>
  </si>
  <si>
    <t>FIT 50-85, 1; LYG</t>
  </si>
  <si>
    <t>FIT 50-85, 1; COL</t>
  </si>
  <si>
    <t>FIT 50-85, 1; Stool Tests</t>
  </si>
  <si>
    <t>IncCOL/IncLYG</t>
  </si>
  <si>
    <t>Stool Tests</t>
  </si>
  <si>
    <r>
      <t>"All three models found that for all screening modalities, the life-years gained from raising the age to end screening from age 75 to age 80 or age 85 were small relative to the increase in the required number of colonoscopies and the number of non-colonoscopy tests (Figures 11-18 and Tables 5-9). For example, consider annual screening with FIT, starting at age 50 (Figure 13 and Table 6). Raising the age to end screening from age 75 to age 80 increased life-years gained by 5-7 (</t>
    </r>
    <r>
      <rPr>
        <sz val="11"/>
        <color rgb="FFFF0000"/>
        <rFont val="Calibri"/>
        <family val="2"/>
        <scheme val="minor"/>
      </rPr>
      <t>8</t>
    </r>
    <r>
      <rPr>
        <sz val="11"/>
        <color theme="1"/>
        <rFont val="Calibri"/>
        <family val="2"/>
        <scheme val="minor"/>
      </rPr>
      <t>) per 1,000 (2-3%) (</t>
    </r>
    <r>
      <rPr>
        <sz val="11"/>
        <color rgb="FFFF0000"/>
        <rFont val="Calibri"/>
        <family val="2"/>
        <scheme val="minor"/>
      </rPr>
      <t>3%</t>
    </r>
    <r>
      <rPr>
        <sz val="11"/>
        <color theme="1"/>
        <rFont val="Calibri"/>
        <family val="2"/>
        <scheme val="minor"/>
      </rPr>
      <t>) while increasing the number of colonoscopies by 98-119 (</t>
    </r>
    <r>
      <rPr>
        <sz val="11"/>
        <color rgb="FFFF0000"/>
        <rFont val="Calibri"/>
        <family val="2"/>
        <scheme val="minor"/>
      </rPr>
      <t>115</t>
    </r>
    <r>
      <rPr>
        <sz val="11"/>
        <color theme="1"/>
        <rFont val="Calibri"/>
        <family val="2"/>
        <scheme val="minor"/>
      </rPr>
      <t>) per 1,000 (6-7%) (</t>
    </r>
    <r>
      <rPr>
        <sz val="11"/>
        <color rgb="FFFF0000"/>
        <rFont val="Calibri"/>
        <family val="2"/>
        <scheme val="minor"/>
      </rPr>
      <t>6%</t>
    </r>
    <r>
      <rPr>
        <sz val="11"/>
        <color theme="1"/>
        <rFont val="Calibri"/>
        <family val="2"/>
        <scheme val="minor"/>
      </rPr>
      <t>)and the number of FITs by 1,618-1,709 (</t>
    </r>
    <r>
      <rPr>
        <sz val="11"/>
        <color rgb="FFFF0000"/>
        <rFont val="Calibri"/>
        <family val="2"/>
        <scheme val="minor"/>
      </rPr>
      <t>1662</t>
    </r>
    <r>
      <rPr>
        <sz val="11"/>
        <color theme="1"/>
        <rFont val="Calibri"/>
        <family val="2"/>
        <scheme val="minor"/>
      </rPr>
      <t>) per 1,000 (10-11%) (</t>
    </r>
    <r>
      <rPr>
        <sz val="11"/>
        <color rgb="FFFF0000"/>
        <rFont val="Calibri"/>
        <family val="2"/>
        <scheme val="minor"/>
      </rPr>
      <t>11%</t>
    </r>
    <r>
      <rPr>
        <sz val="11"/>
        <color theme="1"/>
        <rFont val="Calibri"/>
        <family val="2"/>
        <scheme val="minor"/>
      </rPr>
      <t>). Raising the age to end screening further, from age 80 to age 85, yielded even smaller gains in life-years (2-3 (</t>
    </r>
    <r>
      <rPr>
        <sz val="11"/>
        <color rgb="FFFF0000"/>
        <rFont val="Calibri"/>
        <family val="2"/>
        <scheme val="minor"/>
      </rPr>
      <t>3</t>
    </r>
    <r>
      <rPr>
        <sz val="11"/>
        <color theme="1"/>
        <rFont val="Calibri"/>
        <family val="2"/>
        <scheme val="minor"/>
      </rPr>
      <t>) per 1,000, a 1% (</t>
    </r>
    <r>
      <rPr>
        <sz val="11"/>
        <color rgb="FFFF0000"/>
        <rFont val="Calibri"/>
        <family val="2"/>
        <scheme val="minor"/>
      </rPr>
      <t>1%</t>
    </r>
    <r>
      <rPr>
        <sz val="11"/>
        <color theme="1"/>
        <rFont val="Calibri"/>
        <family val="2"/>
        <scheme val="minor"/>
      </rPr>
      <t>) increase) relative to the change in the number of colonoscopies required (66-79 (</t>
    </r>
    <r>
      <rPr>
        <sz val="11"/>
        <color rgb="FFFF0000"/>
        <rFont val="Calibri"/>
        <family val="2"/>
        <scheme val="minor"/>
      </rPr>
      <t>76</t>
    </r>
    <r>
      <rPr>
        <sz val="11"/>
        <color theme="1"/>
        <rFont val="Calibri"/>
        <family val="2"/>
        <scheme val="minor"/>
      </rPr>
      <t>) per 1,000, a 4% (</t>
    </r>
    <r>
      <rPr>
        <sz val="11"/>
        <color rgb="FFFF0000"/>
        <rFont val="Calibri"/>
        <family val="2"/>
        <scheme val="minor"/>
      </rPr>
      <t>4%</t>
    </r>
    <r>
      <rPr>
        <sz val="11"/>
        <color theme="1"/>
        <rFont val="Calibri"/>
        <family val="2"/>
        <scheme val="minor"/>
      </rPr>
      <t>) increase). The number of FITs increased by 1,162-1,244 (</t>
    </r>
    <r>
      <rPr>
        <sz val="11"/>
        <color rgb="FFFF0000"/>
        <rFont val="Calibri"/>
        <family val="2"/>
        <scheme val="minor"/>
      </rPr>
      <t>1,197</t>
    </r>
    <r>
      <rPr>
        <sz val="11"/>
        <color theme="1"/>
        <rFont val="Calibri"/>
        <family val="2"/>
        <scheme val="minor"/>
      </rPr>
      <t>) per 1,000 (a 7% (</t>
    </r>
    <r>
      <rPr>
        <sz val="11"/>
        <color rgb="FFFF0000"/>
        <rFont val="Calibri"/>
        <family val="2"/>
        <scheme val="minor"/>
      </rPr>
      <t>7%</t>
    </r>
    <r>
      <rPr>
        <sz val="11"/>
        <color theme="1"/>
        <rFont val="Calibri"/>
        <family val="2"/>
        <scheme val="minor"/>
      </rPr>
      <t>) increase)."</t>
    </r>
  </si>
  <si>
    <t>COL 50-70/75, 10; LYG</t>
  </si>
  <si>
    <t>COL 50-80/85, 10; LYG</t>
  </si>
  <si>
    <t>COL 50-70/75, 10; COL</t>
  </si>
  <si>
    <t>COL 50-80/85, 10; COL</t>
  </si>
  <si>
    <r>
      <t>"For colonoscopy screening every 10 years starting at age 50 (Figure 11 and Table 5), increasing the age to end screening from age 70/75 to age 80/85 such that one additional screening colonoscopy is performed at age 80 also increased life-years gained by only 2-3 (</t>
    </r>
    <r>
      <rPr>
        <sz val="11"/>
        <color rgb="FFFF0000"/>
        <rFont val="Calibri"/>
        <family val="2"/>
        <scheme val="minor"/>
      </rPr>
      <t>5</t>
    </r>
    <r>
      <rPr>
        <sz val="11"/>
        <color theme="1"/>
        <rFont val="Calibri"/>
        <family val="2"/>
        <scheme val="minor"/>
      </rPr>
      <t>) years per 1,000 (1% (</t>
    </r>
    <r>
      <rPr>
        <sz val="11"/>
        <color rgb="FFFF0000"/>
        <rFont val="Calibri"/>
        <family val="2"/>
        <scheme val="minor"/>
      </rPr>
      <t>2%</t>
    </r>
    <r>
      <rPr>
        <sz val="11"/>
        <color theme="1"/>
        <rFont val="Calibri"/>
        <family val="2"/>
        <scheme val="minor"/>
      </rPr>
      <t>) increase); the number of colonoscopies increased by 384-414 (</t>
    </r>
    <r>
      <rPr>
        <sz val="11"/>
        <color rgb="FFFF0000"/>
        <rFont val="Calibri"/>
        <family val="2"/>
        <scheme val="minor"/>
      </rPr>
      <t>428</t>
    </r>
    <r>
      <rPr>
        <sz val="11"/>
        <color theme="1"/>
        <rFont val="Calibri"/>
        <family val="2"/>
        <scheme val="minor"/>
      </rPr>
      <t>) (9-10% (</t>
    </r>
    <r>
      <rPr>
        <sz val="11"/>
        <color rgb="FFFF0000"/>
        <rFont val="Calibri"/>
        <family val="2"/>
        <scheme val="minor"/>
      </rPr>
      <t>11%</t>
    </r>
    <r>
      <rPr>
        <sz val="11"/>
        <color theme="1"/>
        <rFont val="Calibri"/>
        <family val="2"/>
        <scheme val="minor"/>
      </rPr>
      <t>) increase)."</t>
    </r>
  </si>
  <si>
    <t>"Given these relatively small increases in life-years gained from extending the age to end screening beyond age 75, we simulated additional annual FIT and colonoscopy scenarios with age to end screening as low as 60. As the age to end screening was increased from age 60 to age 85, in 5-year increments, the additional in life-years gained and colonoscopies required increased at a decreasing rate (Figure 19). The USPSTF considered these findings showing small gains in life-years relative to the increases in the number of colonoscopies required when raising the age to end screening beyond age 75 and the lack of evidence from randomized trials on continued screening of persons aged 75 and older, and concluded that the evidence best supported an age to end screening of 75."</t>
  </si>
  <si>
    <r>
      <t xml:space="preserve">(Excel author's note: differences in CRC-AIM's Inc-LYG offset by slightly higher Inc-COL, such that IncCOL/IncLYG ~90. </t>
    </r>
    <r>
      <rPr>
        <b/>
        <sz val="11"/>
        <color theme="1"/>
        <rFont val="Calibri"/>
        <family val="2"/>
        <scheme val="minor"/>
      </rPr>
      <t>Same conclusion reached (extending screening to 80/85 results in unpreferable burden/benefit ratio for COL</t>
    </r>
    <r>
      <rPr>
        <sz val="11"/>
        <color theme="1"/>
        <rFont val="Calibri"/>
        <family val="2"/>
        <scheme val="minor"/>
      </rPr>
      <t>))</t>
    </r>
  </si>
  <si>
    <t>(Excel author's note: this analysis was not duplicated for CRC-AIM.)</t>
  </si>
  <si>
    <t>"In a world in which only screen strategies with start age of 50,55 and stop age of 75,80,85 are evaluated, the CRC-AIM model would choose COL 50-75, 10, since the next strategy on the frontier (COL 50-80, 10) has too high an effiency ratio (91 COL/LYG)"</t>
  </si>
  <si>
    <r>
      <t>Microsimulation analyses performed by CISNET suggest that starting colorectal cancer screening at age 45 years rather than 50 years is estimated to yield a modest increase in life-years gained and a more efficient balance between life-years gained and lifetime number of colonoscopies (a proxy measure for the burden of screening).</t>
    </r>
    <r>
      <rPr>
        <vertAlign val="superscript"/>
        <sz val="11"/>
        <color theme="1"/>
        <rFont val="Calibri"/>
        <family val="2"/>
        <scheme val="minor"/>
      </rPr>
      <t>2</t>
    </r>
    <r>
      <rPr>
        <sz val="11"/>
        <color theme="1"/>
        <rFont val="Calibri"/>
        <family val="2"/>
        <scheme val="minor"/>
      </rPr>
      <t xml:space="preserve"> However, across the different screening methods, lowering the age at which to begin screening to 45 years while maintaining the same screening interval resulted in an estimated increase in the lifetime number of colonoscopies. In the case of screening colonoscopy, </t>
    </r>
    <r>
      <rPr>
        <b/>
        <sz val="11"/>
        <color theme="1"/>
        <rFont val="Calibri"/>
        <family val="2"/>
        <scheme val="minor"/>
      </rPr>
      <t>2 of the 3 models (</t>
    </r>
    <r>
      <rPr>
        <b/>
        <sz val="11"/>
        <color rgb="FFFF0000"/>
        <rFont val="Calibri"/>
        <family val="2"/>
        <scheme val="minor"/>
      </rPr>
      <t>as did CRC-AIM</t>
    </r>
    <r>
      <rPr>
        <b/>
        <sz val="11"/>
        <color theme="1"/>
        <rFont val="Calibri"/>
        <family val="2"/>
        <scheme val="minor"/>
      </rPr>
      <t>) found that by starting screening at age 45 years, the screening interval could be extended from 10 to 15 years</t>
    </r>
    <r>
      <rPr>
        <sz val="11"/>
        <color theme="1"/>
        <rFont val="Calibri"/>
        <family val="2"/>
        <scheme val="minor"/>
      </rPr>
      <t xml:space="preserve">. </t>
    </r>
    <r>
      <rPr>
        <b/>
        <sz val="11"/>
        <color theme="1"/>
        <rFont val="Calibri"/>
        <family val="2"/>
        <scheme val="minor"/>
      </rPr>
      <t>Doing so maintained the same (or slightly more) life-years gained as performing colonoscopy every 10 years starting at age 50 years without increasing the lifetime number of colonoscopies. However, 1 model estimated a slight loss in life years gained with a longer screening interval and an earlier age at which to begin screening.</t>
    </r>
    <r>
      <rPr>
        <vertAlign val="superscript"/>
        <sz val="11"/>
        <color theme="1"/>
        <rFont val="Calibri"/>
        <family val="2"/>
        <scheme val="minor"/>
      </rPr>
      <t>2</t>
    </r>
    <r>
      <rPr>
        <sz val="11"/>
        <color theme="1"/>
        <rFont val="Calibri"/>
        <family val="2"/>
        <scheme val="minor"/>
      </rPr>
      <t xml:space="preserve">  
The USPSTF considered these findings and concluded that the evidence best supports a starting age of 50 years for the general population, noting the modest increase in life-years gained by starting screening earlier, the discordant findings across models for extending the screening intervalwhen theageatwhich to begin screening is lowered, and the lack of empirical evidence in younger populations.</t>
    </r>
  </si>
  <si>
    <t>Excel author's note: "In a world in which only screen strategies with start age of 50,55 and stop age of 75,80,85 are evaluated, the CRC-AIM model would choose COL 50-75, 10, since the next strategy on the frontier (COL 50-80, 10) has too high an effiency ratio (91 COL/LYG)"</t>
  </si>
  <si>
    <t>CRC deaths</t>
  </si>
  <si>
    <t>No screening CRC deaths</t>
  </si>
  <si>
    <t>CRC deaths prevented</t>
  </si>
  <si>
    <r>
      <t>"Colonoscopy Screening Strategies
Of the 14 unique colonoscopy screening strategies evaluated with screening beginning at age 50 or later, the strategy with two lifetime screening colonoscopies at ages 55 and 70 (i.e., “COL 55-75, 15”) yielded the fewest life-years gained (214-236 (</t>
    </r>
    <r>
      <rPr>
        <sz val="11"/>
        <color rgb="FFFF0000"/>
        <rFont val="Calibri"/>
        <family val="2"/>
        <scheme val="minor"/>
      </rPr>
      <t>256.1</t>
    </r>
    <r>
      <rPr>
        <sz val="11"/>
        <color theme="1"/>
        <rFont val="Calibri"/>
        <family val="2"/>
        <scheme val="minor"/>
      </rPr>
      <t>) per 1,000 persons age 40) and the fewest colorectal cancer deaths averted (20.1-22.4 (</t>
    </r>
    <r>
      <rPr>
        <sz val="11"/>
        <color rgb="FFFF0000"/>
        <rFont val="Calibri"/>
        <family val="2"/>
        <scheme val="minor"/>
      </rPr>
      <t>25.5)</t>
    </r>
    <r>
      <rPr>
        <sz val="11"/>
        <color theme="1"/>
        <rFont val="Calibri"/>
        <family val="2"/>
        <scheme val="minor"/>
      </rPr>
      <t xml:space="preserve"> per 1,000) at a burden of 2,968-3,079 (</t>
    </r>
    <r>
      <rPr>
        <sz val="11"/>
        <color rgb="FFFF0000"/>
        <rFont val="Calibri"/>
        <family val="2"/>
        <scheme val="minor"/>
      </rPr>
      <t>3014</t>
    </r>
    <r>
      <rPr>
        <sz val="11"/>
        <color theme="1"/>
        <rFont val="Calibri"/>
        <family val="2"/>
        <scheme val="minor"/>
      </rPr>
      <t>) total colonoscopies per 1,000 persons age 40 (Table 5). The strategy with eight lifetime screening colonoscopies (“COL 50-85, 5”) yielded the most life-years gained (266-286 (</t>
    </r>
    <r>
      <rPr>
        <sz val="11"/>
        <color rgb="FFFF0000"/>
        <rFont val="Calibri"/>
        <family val="2"/>
        <scheme val="minor"/>
      </rPr>
      <t>307</t>
    </r>
    <r>
      <rPr>
        <sz val="11"/>
        <color theme="1"/>
        <rFont val="Calibri"/>
        <family val="2"/>
        <scheme val="minor"/>
      </rPr>
      <t>)) and the most colorectal cancer deaths averted (23.6-25.7 (</t>
    </r>
    <r>
      <rPr>
        <sz val="11"/>
        <color rgb="FFFF0000"/>
        <rFont val="Calibri"/>
        <family val="2"/>
        <scheme val="minor"/>
      </rPr>
      <t>29.4</t>
    </r>
    <r>
      <rPr>
        <sz val="11"/>
        <color theme="1"/>
        <rFont val="Calibri"/>
        <family val="2"/>
        <scheme val="minor"/>
      </rPr>
      <t>)) with the highest colonoscopy burden (6,502-6,586 (</t>
    </r>
    <r>
      <rPr>
        <sz val="11"/>
        <color rgb="FFFF0000"/>
        <rFont val="Calibri"/>
        <family val="2"/>
        <scheme val="minor"/>
      </rPr>
      <t>6637</t>
    </r>
    <r>
      <rPr>
        <sz val="11"/>
        <color theme="1"/>
        <rFont val="Calibri"/>
        <family val="2"/>
        <scheme val="minor"/>
      </rPr>
      <t>)). The colonoscopy strategy included in the 2008 USPSTF recommendations – colonoscopy at ages 50, 60, and 70 (“COL 50-75, 10”) – yielded 248-275 (</t>
    </r>
    <r>
      <rPr>
        <sz val="11"/>
        <color rgb="FFFF0000"/>
        <rFont val="Calibri"/>
        <family val="2"/>
        <scheme val="minor"/>
      </rPr>
      <t>293</t>
    </r>
    <r>
      <rPr>
        <sz val="11"/>
        <color theme="1"/>
        <rFont val="Calibri"/>
        <family val="2"/>
        <scheme val="minor"/>
      </rPr>
      <t>) life-years gained and 21.9-24.4 (</t>
    </r>
    <r>
      <rPr>
        <sz val="11"/>
        <color rgb="FFFF0000"/>
        <rFont val="Calibri"/>
        <family val="2"/>
        <scheme val="minor"/>
      </rPr>
      <t>27.5</t>
    </r>
    <r>
      <rPr>
        <sz val="11"/>
        <color theme="1"/>
        <rFont val="Calibri"/>
        <family val="2"/>
        <scheme val="minor"/>
      </rPr>
      <t>) colorectal cancer deaths averted at a burden of 4,007-4,101 (</t>
    </r>
    <r>
      <rPr>
        <sz val="11"/>
        <color rgb="FFFF0000"/>
        <rFont val="Calibri"/>
        <family val="2"/>
        <scheme val="minor"/>
      </rPr>
      <t>4023</t>
    </r>
    <r>
      <rPr>
        <sz val="11"/>
        <color theme="1"/>
        <rFont val="Calibri"/>
        <family val="2"/>
        <scheme val="minor"/>
      </rPr>
      <t>) colonoscopies and had an efficiency ratio of 39-65 (</t>
    </r>
    <r>
      <rPr>
        <sz val="11"/>
        <color rgb="FFFF0000"/>
        <rFont val="Calibri"/>
        <family val="2"/>
        <scheme val="minor"/>
      </rPr>
      <t>52</t>
    </r>
    <r>
      <rPr>
        <sz val="11"/>
        <color theme="1"/>
        <rFont val="Calibri"/>
        <family val="2"/>
        <scheme val="minor"/>
      </rPr>
      <t>) additional colonoscopies per incremental life-year gained compared to the next less effective efficient colonoscopy strategy. Colonoscopy strategies with a 5-year screening interval and/or with an age to end screening of 80 or 85 were substantially less efficient in all three models (i.e., higher efficiency ratios, exceeding 100 (</t>
    </r>
    <r>
      <rPr>
        <sz val="11"/>
        <color rgb="FFFF0000"/>
        <rFont val="Calibri"/>
        <family val="2"/>
        <scheme val="minor"/>
      </rPr>
      <t>91</t>
    </r>
    <r>
      <rPr>
        <sz val="11"/>
        <color theme="1"/>
        <rFont val="Calibri"/>
        <family val="2"/>
        <scheme val="minor"/>
      </rPr>
      <t>) colonoscopies per life year-gained) (Table 5)."</t>
    </r>
  </si>
  <si>
    <t>Screening Modality and Interval, Colonoscopy Including Benchmark COL</t>
  </si>
  <si>
    <t>Screening Modality and Interval, Stool-Based Screening Strategies (FIT, FIT-DNA, and gFOBT)</t>
  </si>
  <si>
    <t>Assumes a benchmark colonoscopy of COL 50-75 10-yr</t>
  </si>
  <si>
    <t>Recommended Stool Strategies</t>
  </si>
  <si>
    <t>Evaluation 1</t>
  </si>
  <si>
    <t>Evaluation 2</t>
  </si>
  <si>
    <t>Assumes a benchmark colonoscopy of COL 50-75 5-yr</t>
  </si>
  <si>
    <t>FIT 55-75, 3 (7)</t>
  </si>
  <si>
    <t>FIT 55-80, 3 (9)</t>
  </si>
  <si>
    <t>FIT 55-85, 3 (11)</t>
  </si>
  <si>
    <t>FIT 50-75, 3 (9)</t>
  </si>
  <si>
    <t>gFOBT 55-75, 3 (7)</t>
  </si>
  <si>
    <t>FIT 50-80, 3 (11)</t>
  </si>
  <si>
    <t>FIT 55-75, 2 (11)</t>
  </si>
  <si>
    <t>FIT 50-85, 3 (12)</t>
  </si>
  <si>
    <t>gFOBT 55-80, 3 (9)</t>
  </si>
  <si>
    <t>FIT 55-80, 2 (13)</t>
  </si>
  <si>
    <t>mtsDNA 55-75, 5 (5)</t>
  </si>
  <si>
    <t>gFOBT 55-85, 3 (11)</t>
  </si>
  <si>
    <t>FIT 55-85, 2 (16)</t>
  </si>
  <si>
    <t>gFOBT 50-75, 3 (9)</t>
  </si>
  <si>
    <t>mtsDNA 55-80, 5 (6)</t>
  </si>
  <si>
    <t>FIT 50-75, 2 (13)</t>
  </si>
  <si>
    <t>mtsDNA 55-85, 5 (7)</t>
  </si>
  <si>
    <t>gFOBT 55-75, 2 (11)</t>
  </si>
  <si>
    <t>gFOBT 50-80, 3 (11)</t>
  </si>
  <si>
    <t>gFOBT 50-85, 3 (12)</t>
  </si>
  <si>
    <t>FIT 50-80, 2 (16)</t>
  </si>
  <si>
    <t>mtsDNA 50-75, 5 (6)</t>
  </si>
  <si>
    <t>gFOBT 55-80, 2 (13)</t>
  </si>
  <si>
    <t>FIT 50-85, 2 (18)</t>
  </si>
  <si>
    <t>mtsDNA 55-75, 3 (7)</t>
  </si>
  <si>
    <t>mtsDNA 50-80, 5 (7)</t>
  </si>
  <si>
    <t>gFOBT 55-85, 2 (16)</t>
  </si>
  <si>
    <t>mtsDNA 50-85, 5 (8)</t>
  </si>
  <si>
    <t>FIT 55-75, 1 (21)</t>
  </si>
  <si>
    <t>gFOBT 50-75, 2 (13)</t>
  </si>
  <si>
    <t>mtsDNA 55-80, 3 (9)</t>
  </si>
  <si>
    <t>FIT 55-80, 1 (26)</t>
  </si>
  <si>
    <t>mtsDNA 55-85, 3 (11)</t>
  </si>
  <si>
    <t>gFOBT 50-80, 2 (16)</t>
  </si>
  <si>
    <t>FIT 55-85, 1 (31)</t>
  </si>
  <si>
    <t>gFOBT 50-85, 2 (18)</t>
  </si>
  <si>
    <t>gFOBT 55-75, 1 (21)</t>
  </si>
  <si>
    <t>mtsDNA 50-80, 3 (11)</t>
  </si>
  <si>
    <t>mtsDNA 50-85, 3 (12)</t>
  </si>
  <si>
    <t>gFOBT 55-80, 1 (26)</t>
  </si>
  <si>
    <t>gFOBT 55-85, 1 (31)</t>
  </si>
  <si>
    <t>mtsDNA 55-75, 1 (21)</t>
  </si>
  <si>
    <t>gFOBT 50-80, 1 (31)</t>
  </si>
  <si>
    <t>mtsDNA 55-80, 1 (26)</t>
  </si>
  <si>
    <t>gFOBT 50-85, 1 (36)</t>
  </si>
  <si>
    <t>mtsDNA 55-85, 1 (31)</t>
  </si>
  <si>
    <t>mtsDNA 50-80, 1 (31)</t>
  </si>
  <si>
    <t>mtsDNA 50-85, 1 (36)</t>
  </si>
  <si>
    <t>CRC-Deaths Averted</t>
  </si>
  <si>
    <t>Stool tests</t>
  </si>
  <si>
    <r>
      <t>"Stool-Based Screening Strategies (FIT, FIT-DNA, and gFOBT)
Due to the similar level of burden and harms associated with FIT, FIT-DNA, and gFOBT, we evaluated these three stool-based tests together. Of the 54 unique stool-based screening strategies evaluated with screening beginning at age 50 or 55, the strategy of FIT every three years from age 55 to age 75 (“FIT 55-75, 3”) yielded the fewest life-years gained (152-178 (</t>
    </r>
    <r>
      <rPr>
        <sz val="11"/>
        <color rgb="FFFF0000"/>
        <rFont val="Calibri"/>
        <family val="2"/>
        <scheme val="minor"/>
      </rPr>
      <t>171</t>
    </r>
    <r>
      <rPr>
        <sz val="11"/>
        <color theme="1"/>
        <rFont val="Calibri"/>
        <family val="2"/>
        <scheme val="minor"/>
      </rPr>
      <t>) per 1,000 at age 40) and the fewest colorectal cancer deaths averted (13.9-16.1 (</t>
    </r>
    <r>
      <rPr>
        <sz val="11"/>
        <color rgb="FFFF0000"/>
        <rFont val="Calibri"/>
        <family val="2"/>
        <scheme val="minor"/>
      </rPr>
      <t>16.3</t>
    </r>
    <r>
      <rPr>
        <sz val="11"/>
        <color theme="1"/>
        <rFont val="Calibri"/>
        <family val="2"/>
        <scheme val="minor"/>
      </rPr>
      <t>) per 1,000) at a burden of 807-895 (</t>
    </r>
    <r>
      <rPr>
        <sz val="11"/>
        <color rgb="FFFF0000"/>
        <rFont val="Calibri"/>
        <family val="2"/>
        <scheme val="minor"/>
      </rPr>
      <t>954</t>
    </r>
    <r>
      <rPr>
        <sz val="11"/>
        <color theme="1"/>
        <rFont val="Calibri"/>
        <family val="2"/>
        <scheme val="minor"/>
      </rPr>
      <t>) colonoscopies per 1,000 and 5,250-5,306 (</t>
    </r>
    <r>
      <rPr>
        <sz val="11"/>
        <color rgb="FFFF0000"/>
        <rFont val="Calibri"/>
        <family val="2"/>
        <scheme val="minor"/>
      </rPr>
      <t>5,305</t>
    </r>
    <r>
      <rPr>
        <sz val="11"/>
        <color theme="1"/>
        <rFont val="Calibri"/>
        <family val="2"/>
        <scheme val="minor"/>
      </rPr>
      <t>) stool tests per 1,000 (Table 6). Annual FIT-DNA from age 50 to age 85 (“FIT-DNA 50-85, 1”) yielded the most life-years gained (252-275 (</t>
    </r>
    <r>
      <rPr>
        <sz val="11"/>
        <color rgb="FFFF0000"/>
        <rFont val="Calibri"/>
        <family val="2"/>
        <scheme val="minor"/>
      </rPr>
      <t>290</t>
    </r>
    <r>
      <rPr>
        <sz val="11"/>
        <color theme="1"/>
        <rFont val="Calibri"/>
        <family val="2"/>
        <scheme val="minor"/>
      </rPr>
      <t>) per 1,000), averted the most colorectal cancer deaths (22.5-24.7 (</t>
    </r>
    <r>
      <rPr>
        <sz val="11"/>
        <color rgb="FFFF0000"/>
        <rFont val="Calibri"/>
        <family val="2"/>
        <scheme val="minor"/>
      </rPr>
      <t>27.8</t>
    </r>
    <r>
      <rPr>
        <sz val="11"/>
        <color theme="1"/>
        <rFont val="Calibri"/>
        <family val="2"/>
        <scheme val="minor"/>
      </rPr>
      <t>) per 1,000), and required the greatest colonoscopy burden (2,870-2,994 (</t>
    </r>
    <r>
      <rPr>
        <sz val="11"/>
        <color rgb="FFFF0000"/>
        <rFont val="Calibri"/>
        <family val="2"/>
        <scheme val="minor"/>
      </rPr>
      <t>3,002</t>
    </r>
    <r>
      <rPr>
        <sz val="11"/>
        <color theme="1"/>
        <rFont val="Calibri"/>
        <family val="2"/>
        <scheme val="minor"/>
      </rPr>
      <t>) per 1,000); the number of stool tests ranged from 12,542-12,888 (</t>
    </r>
    <r>
      <rPr>
        <sz val="11"/>
        <color rgb="FFFF0000"/>
        <rFont val="Calibri"/>
        <family val="2"/>
        <scheme val="minor"/>
      </rPr>
      <t>12,759</t>
    </r>
    <r>
      <rPr>
        <sz val="11"/>
        <color theme="1"/>
        <rFont val="Calibri"/>
        <family val="2"/>
        <scheme val="minor"/>
      </rPr>
      <t>) per 1,000. Annual FIT from ages 50-75 (“FIT 50-75, 1”) – a strategy included in the 2008 USPSTF recommendations – yielded 231-260 (</t>
    </r>
    <r>
      <rPr>
        <sz val="11"/>
        <color rgb="FFFF0000"/>
        <rFont val="Calibri"/>
        <family val="2"/>
        <scheme val="minor"/>
      </rPr>
      <t>265</t>
    </r>
    <r>
      <rPr>
        <sz val="11"/>
        <color theme="1"/>
        <rFont val="Calibri"/>
        <family val="2"/>
        <scheme val="minor"/>
      </rPr>
      <t>) life-years gained and 20.0-22.7 (</t>
    </r>
    <r>
      <rPr>
        <sz val="11"/>
        <color rgb="FFFF0000"/>
        <rFont val="Calibri"/>
        <family val="2"/>
        <scheme val="minor"/>
      </rPr>
      <t>24.5</t>
    </r>
    <r>
      <rPr>
        <sz val="11"/>
        <color theme="1"/>
        <rFont val="Calibri"/>
        <family val="2"/>
        <scheme val="minor"/>
      </rPr>
      <t>) colorectal cancer deaths averted at a burden of 1,739-1,899 (</t>
    </r>
    <r>
      <rPr>
        <sz val="11"/>
        <color rgb="FFFF0000"/>
        <rFont val="Calibri"/>
        <family val="2"/>
        <scheme val="minor"/>
      </rPr>
      <t>1,937</t>
    </r>
    <r>
      <rPr>
        <sz val="11"/>
        <color theme="1"/>
        <rFont val="Calibri"/>
        <family val="2"/>
        <scheme val="minor"/>
      </rPr>
      <t>) colonoscopies and 15,444-15,843 (</t>
    </r>
    <r>
      <rPr>
        <sz val="11"/>
        <color rgb="FFFF0000"/>
        <rFont val="Calibri"/>
        <family val="2"/>
        <scheme val="minor"/>
      </rPr>
      <t>15,564</t>
    </r>
    <r>
      <rPr>
        <sz val="11"/>
        <color theme="1"/>
        <rFont val="Calibri"/>
        <family val="2"/>
        <scheme val="minor"/>
      </rPr>
      <t xml:space="preserve">) stool tests per 1,000. This strategy was efficient (MISCAN) or nearly efficient (SimCRC and CRC-SPIN </t>
    </r>
    <r>
      <rPr>
        <sz val="11"/>
        <color rgb="FFFF0000"/>
        <rFont val="Calibri"/>
        <family val="2"/>
        <scheme val="minor"/>
      </rPr>
      <t>and CRC-AIM</t>
    </r>
    <r>
      <rPr>
        <sz val="11"/>
        <color theme="1"/>
        <rFont val="Calibri"/>
        <family val="2"/>
        <scheme val="minor"/>
      </rPr>
      <t>) at approximately 17-24 (</t>
    </r>
    <r>
      <rPr>
        <sz val="11"/>
        <color rgb="FFFF0000"/>
        <rFont val="Calibri"/>
        <family val="2"/>
        <scheme val="minor"/>
      </rPr>
      <t>19</t>
    </r>
    <r>
      <rPr>
        <sz val="11"/>
        <color theme="1"/>
        <rFont val="Calibri"/>
        <family val="2"/>
        <scheme val="minor"/>
      </rPr>
      <t>) additional colonoscopies per life-year gained compared to the next less effective efficient stool-based strategy. Annual gFOBT from ages 50-75 (“gFOBT 50-75, 1”) – also a strategy included in the 2008 USPSTF recommendations – yielded 232-261 (</t>
    </r>
    <r>
      <rPr>
        <sz val="11"/>
        <color rgb="FFFF0000"/>
        <rFont val="Calibri"/>
        <family val="2"/>
        <scheme val="minor"/>
      </rPr>
      <t>268</t>
    </r>
    <r>
      <rPr>
        <sz val="11"/>
        <color theme="1"/>
        <rFont val="Calibri"/>
        <family val="2"/>
        <scheme val="minor"/>
      </rPr>
      <t>) life-years gained and 20.3-22.9 (</t>
    </r>
    <r>
      <rPr>
        <sz val="11"/>
        <color rgb="FFFF0000"/>
        <rFont val="Calibri"/>
        <family val="2"/>
        <scheme val="minor"/>
      </rPr>
      <t>24.8</t>
    </r>
    <r>
      <rPr>
        <sz val="11"/>
        <color theme="1"/>
        <rFont val="Calibri"/>
        <family val="2"/>
        <scheme val="minor"/>
      </rPr>
      <t>) colorectal cancer deaths averted at a burden of 2,230-2,287 (</t>
    </r>
    <r>
      <rPr>
        <sz val="11"/>
        <color rgb="FFFF0000"/>
        <rFont val="Calibri"/>
        <family val="2"/>
        <scheme val="minor"/>
      </rPr>
      <t>2,285</t>
    </r>
    <r>
      <rPr>
        <sz val="11"/>
        <color theme="1"/>
        <rFont val="Calibri"/>
        <family val="2"/>
        <scheme val="minor"/>
      </rPr>
      <t>) colonoscopies and 12,914-13,026 (</t>
    </r>
    <r>
      <rPr>
        <sz val="11"/>
        <color rgb="FFFF0000"/>
        <rFont val="Calibri"/>
        <family val="2"/>
        <scheme val="minor"/>
      </rPr>
      <t>13,084</t>
    </r>
    <r>
      <rPr>
        <sz val="11"/>
        <color theme="1"/>
        <rFont val="Calibri"/>
        <family val="2"/>
        <scheme val="minor"/>
      </rPr>
      <t>) stool tests per 1,000 (Appendix Table 4) (</t>
    </r>
    <r>
      <rPr>
        <sz val="11"/>
        <color rgb="FFFF0000"/>
        <rFont val="Calibri"/>
        <family val="2"/>
        <scheme val="minor"/>
      </rPr>
      <t>see worksheet: Qual Stool CRC-AIM_50-85</t>
    </r>
    <r>
      <rPr>
        <sz val="11"/>
        <color theme="1"/>
        <rFont val="Calibri"/>
        <family val="2"/>
        <scheme val="minor"/>
      </rPr>
      <t>), and was dominated (</t>
    </r>
    <r>
      <rPr>
        <sz val="11"/>
        <color rgb="FFFF0000"/>
        <rFont val="Calibri"/>
        <family val="2"/>
        <scheme val="minor"/>
      </rPr>
      <t>also dominated in CRC-AIM</t>
    </r>
    <r>
      <rPr>
        <sz val="11"/>
        <color theme="1"/>
        <rFont val="Calibri"/>
        <family val="2"/>
        <scheme val="minor"/>
      </rPr>
      <t>) by other stool-based strategies. FIT strategies comprised the vast majority of efficient and near-efficient stool-based strategies (Figure 20) (</t>
    </r>
    <r>
      <rPr>
        <sz val="11"/>
        <color rgb="FFFF0000"/>
        <rFont val="Calibri"/>
        <family val="2"/>
        <scheme val="minor"/>
      </rPr>
      <t>also in CRC-AIM</t>
    </r>
    <r>
      <rPr>
        <sz val="11"/>
        <color theme="1"/>
        <rFont val="Calibri"/>
        <family val="2"/>
        <scheme val="minor"/>
      </rPr>
      <t>). FIT-DNA strategies annually from age 50 to age 75, 80 or 85 were efficient or near-efficient in all three models (</t>
    </r>
    <r>
      <rPr>
        <sz val="11"/>
        <color rgb="FFFF0000"/>
        <rFont val="Calibri"/>
        <family val="2"/>
        <scheme val="minor"/>
      </rPr>
      <t>also in CRC-AIM</t>
    </r>
    <r>
      <rPr>
        <sz val="11"/>
        <color theme="1"/>
        <rFont val="Calibri"/>
        <family val="2"/>
        <scheme val="minor"/>
      </rPr>
      <t>) but with efficiency ratios exceeding 69 (</t>
    </r>
    <r>
      <rPr>
        <sz val="11"/>
        <color rgb="FFFF0000"/>
        <rFont val="Calibri"/>
        <family val="2"/>
        <scheme val="minor"/>
      </rPr>
      <t>60</t>
    </r>
    <r>
      <rPr>
        <sz val="11"/>
        <color theme="1"/>
        <rFont val="Calibri"/>
        <family val="2"/>
        <scheme val="minor"/>
      </rPr>
      <t>) additional colonoscopies per additional life-year gained relative to the next less effective efficient strategy (Table 6). In only one model (CRC-SPIN) (</t>
    </r>
    <r>
      <rPr>
        <sz val="11"/>
        <color rgb="FFFF0000"/>
        <rFont val="Calibri"/>
        <family val="2"/>
        <scheme val="minor"/>
      </rPr>
      <t>and CRC-AIM</t>
    </r>
    <r>
      <rPr>
        <sz val="11"/>
        <color theme="1"/>
        <rFont val="Calibri"/>
        <family val="2"/>
        <scheme val="minor"/>
      </rPr>
      <t>) was a gFOBT strategy (“gFOBT 50-85, 1”) found to be near-efficient."</t>
    </r>
  </si>
  <si>
    <t>CRC deaths averted</t>
  </si>
  <si>
    <t>CRC deaths (no screening)</t>
  </si>
  <si>
    <t>MODEL, Class</t>
  </si>
  <si>
    <t>CRC-AIM, Colonoscopy</t>
  </si>
  <si>
    <t>CRC-AIM, Stool tests</t>
  </si>
  <si>
    <t>*Near-efficient</t>
  </si>
  <si>
    <t>Efficiency ratio, 1</t>
  </si>
  <si>
    <t>Efficiency ratio, 2</t>
  </si>
  <si>
    <t>121.438262633929*</t>
  </si>
  <si>
    <t>10.4084859963556*</t>
  </si>
  <si>
    <t>18.6214671326616*</t>
  </si>
  <si>
    <t>76.7464727171137*</t>
  </si>
  <si>
    <t>Efficiency ratio, 1 (Peterse 2018, correct method): ratio for NE calculated when 1st locking 50-75 as screen window</t>
  </si>
  <si>
    <t>Efficiency ratio, 2 (CISNET AHRQ, nonsensical method): ratio for NE calculated when considering 50,55 as screen start, 75,80,85 as screen end, and subsetting 50-75 outcomes (without recalculating) for corresponding efficiency ratios.</t>
  </si>
  <si>
    <r>
      <t>"Baseline Colonoscopy Strategy: COL 50-75, 10
When colonoscopy at ages 50, 60 and 70 (i.e., “COL 50-75, 10”) is chosen as the acceptable colonoscopy strategy, the benchmark number of life-years gained (per 1,000) and incremental efficiency ratio against which other strategies are compared are 275 and 55, respectively with SimCRC, 248 and 39, respectively, with MISCAN, and 270 and 65, respectively with CRC-SPIN (</t>
    </r>
    <r>
      <rPr>
        <sz val="11"/>
        <color rgb="FFFF0000"/>
        <rFont val="Calibri"/>
        <family val="2"/>
        <scheme val="minor"/>
      </rPr>
      <t>293 and 52 for CRC-AIM</t>
    </r>
    <r>
      <rPr>
        <sz val="11"/>
        <color theme="1"/>
        <rFont val="Calibri"/>
        <family val="2"/>
        <scheme val="minor"/>
      </rPr>
      <t>) (Table 10). Selecting the strategies from the other test classes that have life-years gained within 90%-110% of that of the selected colonoscopy strategy, while requiring fewer incremental colonoscopies per life-years gained, resulted in the following set of strategies: annual FIT (</t>
    </r>
    <r>
      <rPr>
        <sz val="11"/>
        <color rgb="FFFF0000"/>
        <rFont val="Calibri"/>
        <family val="2"/>
        <scheme val="minor"/>
      </rPr>
      <t>annual FIT when Efficiency Ratio 2 method used, annual mt-sDNA when Efficiency Ratio 1 method used (Peterse 2018 method)</t>
    </r>
    <r>
      <rPr>
        <sz val="11"/>
        <color theme="1"/>
        <rFont val="Calibri"/>
        <family val="2"/>
        <scheme val="minor"/>
      </rPr>
      <t>); sigmoidoscopy every 10 years with annual FIT; and CT colonography every 5 years. Findings were consistent across the three models. Sigmoidoscopy alone was not selected because, for each model, the life-years gained for all sigmoidoscopy strategies were less than 90% of the selected colonoscopy strategy. Outcomes for these recommended strategies are presented in Figure 22."</t>
    </r>
  </si>
  <si>
    <r>
      <t>"Baseline Colonoscopy Strategy: COL 50-75, 5
When colonoscopy from ages 50-75 with a 5-year interval (“COL 50-75, 5”) is chosen as the acceptable colonoscopy strategy, the benchmark number of life-years gained (per 1,000) and incremental efficiency ratio are relatively high, at 285 and 188, respectively, with SimCRC, 264 and 114, respectively, with MISCAN, and 279 and 273, respectively, with CRC-SPIN (</t>
    </r>
    <r>
      <rPr>
        <sz val="11"/>
        <color rgb="FFFF0000"/>
        <rFont val="Calibri"/>
        <family val="2"/>
        <scheme val="minor"/>
      </rPr>
      <t>305 and 172 for CRC-AIM</t>
    </r>
    <r>
      <rPr>
        <sz val="11"/>
        <color theme="1"/>
        <rFont val="Calibri"/>
        <family val="2"/>
        <scheme val="minor"/>
      </rPr>
      <t>) (Appendix Table 11). With SimCRC and CRC-SPIN, the following strategies met the benchmarks for selection as recommended tests alongside colonoscopy every 5 years: FIT-DNA annually (</t>
    </r>
    <r>
      <rPr>
        <sz val="11"/>
        <color rgb="FFFF0000"/>
        <rFont val="Calibri"/>
        <family val="2"/>
        <scheme val="minor"/>
      </rPr>
      <t>FIT-DNA for CRC-AIM</t>
    </r>
    <r>
      <rPr>
        <sz val="11"/>
        <color theme="1"/>
        <rFont val="Calibri"/>
        <family val="2"/>
        <scheme val="minor"/>
      </rPr>
      <t>), sigmoidoscopy every 10 years with annual FIT, and CT colonography every 5 years. With MISCAN, only sigmoidoscopy every 10 years with annual FIT was included along with 5-yearly colonoscopy."</t>
    </r>
  </si>
  <si>
    <t>Peterse Method (Fix Screen Window, then calculate ratios)</t>
  </si>
  <si>
    <t>50-75 10 YR COL LYG</t>
  </si>
  <si>
    <t>Pct LYG vs COL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</si>
</sst>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0.0000000"/>
    <numFmt numFmtId="167" formatCode="0.000000"/>
    <numFmt numFmtId="168" formatCode="0.00000"/>
    <numFmt numFmtId="169" formatCode="0.0000"/>
  </numFmts>
  <fonts count="13"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sz val="8"/>
      <color theme="1"/>
      <name val="Calibri"/>
      <family val="2"/>
      <scheme val="minor"/>
    </font>
    <font>
      <b/>
      <sz val="11"/>
      <color rgb="FFFF0000"/>
      <name val="Calibri"/>
      <family val="2"/>
      <scheme val="minor"/>
    </font>
    <font>
      <b/>
      <sz val="8"/>
      <color theme="1"/>
      <name val="Calibri"/>
      <family val="2"/>
      <scheme val="minor"/>
    </font>
    <font>
      <sz val="10"/>
      <color theme="1"/>
      <name val="Calibri"/>
      <family val="2"/>
      <scheme val="minor"/>
    </font>
    <font>
      <b/>
      <sz val="9"/>
      <color theme="1"/>
      <name val="Calibri"/>
      <family val="2"/>
      <scheme val="minor"/>
    </font>
    <font>
      <b/>
      <sz val="10"/>
      <color theme="1"/>
      <name val="Calibri"/>
      <family val="2"/>
      <scheme val="minor"/>
    </font>
    <font>
      <sz val="11"/>
      <name val="Calibri"/>
      <family val="2"/>
      <scheme val="minor"/>
    </font>
    <font>
      <vertAlign val="superscript"/>
      <sz val="11"/>
      <color theme="1"/>
      <name val="Calibri"/>
      <family val="2"/>
      <scheme val="minor"/>
    </font>
    <font>
      <sz val="11"/>
      <color rgb="FF00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double">
        <color indexed="64"/>
      </top>
      <bottom/>
      <diagonal/>
    </border>
    <border>
      <left/>
      <right/>
      <top style="double">
        <color indexed="64"/>
      </top>
      <bottom/>
      <diagonal/>
    </border>
    <border>
      <left/>
      <right style="medium">
        <color indexed="64"/>
      </right>
      <top style="double">
        <color indexed="64"/>
      </top>
      <bottom/>
      <diagonal/>
    </border>
    <border>
      <left style="medium">
        <color indexed="64"/>
      </left>
      <right/>
      <top/>
      <bottom style="dotted">
        <color indexed="64"/>
      </bottom>
      <diagonal/>
    </border>
    <border>
      <left/>
      <right/>
      <top/>
      <bottom style="dotted">
        <color indexed="64"/>
      </bottom>
      <diagonal/>
    </border>
    <border>
      <left/>
      <right style="medium">
        <color indexed="64"/>
      </right>
      <top/>
      <bottom style="dotted">
        <color indexed="64"/>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medium">
        <color indexed="64"/>
      </left>
      <right/>
      <top/>
      <bottom style="dashed">
        <color indexed="64"/>
      </bottom>
      <diagonal/>
    </border>
    <border>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4">
    <xf numFmtId="0" fontId="0" fillId="0" borderId="0" xfId="0"/>
    <xf numFmtId="0" fontId="0" fillId="0" borderId="0" xfId="0" applyAlignment="1">
      <alignment horizontal="center" vertical="center" wrapText="1"/>
    </xf>
    <xf numFmtId="0" fontId="0" fillId="0" borderId="0" xfId="0" applyAlignment="1">
      <alignment horizontal="center"/>
    </xf>
    <xf numFmtId="0" fontId="0" fillId="0" borderId="1" xfId="0" applyBorder="1"/>
    <xf numFmtId="0" fontId="0" fillId="0" borderId="2" xfId="0" applyBorder="1"/>
    <xf numFmtId="0" fontId="0" fillId="0" borderId="4" xfId="0" applyBorder="1"/>
    <xf numFmtId="0" fontId="0" fillId="0" borderId="0" xfId="0" applyBorder="1"/>
    <xf numFmtId="0" fontId="0" fillId="2" borderId="0" xfId="0" applyFill="1" applyBorder="1"/>
    <xf numFmtId="0" fontId="0" fillId="2" borderId="5" xfId="0" applyFill="1" applyBorder="1"/>
    <xf numFmtId="0" fontId="0" fillId="0" borderId="6" xfId="0" applyBorder="1"/>
    <xf numFmtId="0" fontId="0" fillId="0" borderId="7" xfId="0" applyBorder="1"/>
    <xf numFmtId="0" fontId="0" fillId="2" borderId="0" xfId="0" quotePrefix="1" applyFill="1" applyBorder="1"/>
    <xf numFmtId="0" fontId="0" fillId="2" borderId="5" xfId="0" quotePrefix="1" applyFill="1" applyBorder="1"/>
    <xf numFmtId="0" fontId="1" fillId="0" borderId="2" xfId="0" quotePrefix="1" applyFont="1" applyFill="1" applyBorder="1" applyAlignment="1">
      <alignment horizontal="center"/>
    </xf>
    <xf numFmtId="0" fontId="0" fillId="0" borderId="0" xfId="0" quotePrefix="1" applyFill="1" applyBorder="1" applyAlignment="1">
      <alignment horizontal="center"/>
    </xf>
    <xf numFmtId="0" fontId="0" fillId="2" borderId="7" xfId="0" quotePrefix="1" applyFill="1" applyBorder="1"/>
    <xf numFmtId="0" fontId="0" fillId="0" borderId="0" xfId="0" quotePrefix="1" applyFont="1" applyFill="1" applyBorder="1" applyAlignment="1">
      <alignment horizontal="center"/>
    </xf>
    <xf numFmtId="0" fontId="5" fillId="0" borderId="0" xfId="0" quotePrefix="1" applyFont="1" applyFill="1" applyBorder="1" applyAlignment="1">
      <alignment horizontal="center"/>
    </xf>
    <xf numFmtId="0" fontId="2" fillId="0" borderId="0" xfId="0" applyFont="1"/>
    <xf numFmtId="0" fontId="3" fillId="0" borderId="0" xfId="0" applyFont="1"/>
    <xf numFmtId="0" fontId="0" fillId="0" borderId="0" xfId="0" quotePrefix="1" applyFont="1"/>
    <xf numFmtId="0" fontId="0" fillId="0" borderId="0" xfId="0" quotePrefix="1" applyFont="1" applyFill="1" applyBorder="1"/>
    <xf numFmtId="0" fontId="5" fillId="0" borderId="0" xfId="0" quotePrefix="1" applyFont="1" applyAlignment="1">
      <alignment horizontal="center" vertical="center"/>
    </xf>
    <xf numFmtId="0" fontId="5" fillId="0" borderId="0" xfId="0" quotePrefix="1" applyFont="1" applyFill="1" applyBorder="1" applyAlignment="1">
      <alignment horizontal="center" vertical="center"/>
    </xf>
    <xf numFmtId="0" fontId="0" fillId="0" borderId="0" xfId="0" quotePrefix="1" applyFill="1" applyBorder="1" applyAlignment="1">
      <alignment horizontal="center" vertical="center"/>
    </xf>
    <xf numFmtId="0" fontId="5" fillId="0" borderId="2" xfId="0" quotePrefix="1" applyFont="1" applyBorder="1" applyAlignment="1">
      <alignment horizontal="center" vertical="center"/>
    </xf>
    <xf numFmtId="0" fontId="0" fillId="0" borderId="7" xfId="0" quotePrefix="1" applyFill="1" applyBorder="1" applyAlignment="1">
      <alignment horizontal="center" vertical="center"/>
    </xf>
    <xf numFmtId="0" fontId="5" fillId="0" borderId="2" xfId="0" quotePrefix="1" applyFont="1" applyFill="1" applyBorder="1" applyAlignment="1">
      <alignment horizontal="center" vertical="center"/>
    </xf>
    <xf numFmtId="0" fontId="0" fillId="0" borderId="0" xfId="0" quotePrefix="1" applyFill="1" applyAlignment="1">
      <alignment horizontal="center" vertical="center"/>
    </xf>
    <xf numFmtId="0" fontId="5" fillId="0" borderId="0" xfId="0" quotePrefix="1" applyFont="1" applyFill="1" applyAlignment="1">
      <alignment horizontal="center" vertical="center"/>
    </xf>
    <xf numFmtId="0" fontId="0" fillId="0" borderId="0" xfId="0" applyFont="1" applyFill="1" applyBorder="1" applyAlignment="1">
      <alignment horizontal="center"/>
    </xf>
    <xf numFmtId="0" fontId="0" fillId="0" borderId="7" xfId="0" quotePrefix="1" applyFill="1" applyBorder="1" applyAlignment="1">
      <alignment horizontal="center"/>
    </xf>
    <xf numFmtId="0" fontId="0" fillId="0" borderId="0" xfId="0" quotePrefix="1" applyFont="1" applyAlignment="1">
      <alignment horizontal="center" vertical="center"/>
    </xf>
    <xf numFmtId="0" fontId="0" fillId="3" borderId="0" xfId="0" applyFill="1" applyAlignment="1">
      <alignment horizontal="center" vertical="center" wrapText="1"/>
    </xf>
    <xf numFmtId="0" fontId="0"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2" xfId="0" quotePrefix="1" applyFill="1" applyBorder="1" applyAlignment="1">
      <alignment horizontal="center" vertical="center"/>
    </xf>
    <xf numFmtId="0" fontId="0" fillId="0" borderId="7" xfId="0" applyFill="1" applyBorder="1" applyAlignment="1">
      <alignment horizontal="center" vertical="center"/>
    </xf>
    <xf numFmtId="0" fontId="0" fillId="4" borderId="0" xfId="0" applyFill="1" applyBorder="1" applyAlignment="1">
      <alignment horizontal="center" vertical="center"/>
    </xf>
    <xf numFmtId="0" fontId="0" fillId="4" borderId="0" xfId="0" applyFill="1"/>
    <xf numFmtId="0" fontId="0" fillId="2" borderId="2" xfId="0" applyFill="1" applyBorder="1"/>
    <xf numFmtId="0" fontId="0" fillId="0" borderId="5" xfId="0" applyBorder="1"/>
    <xf numFmtId="0" fontId="0" fillId="0" borderId="8" xfId="0" applyBorder="1"/>
    <xf numFmtId="2" fontId="0" fillId="0" borderId="0" xfId="0" quotePrefix="1" applyNumberFormat="1" applyFont="1" applyAlignment="1">
      <alignment horizontal="center" vertical="center"/>
    </xf>
    <xf numFmtId="10" fontId="0" fillId="0" borderId="0" xfId="0" quotePrefix="1" applyNumberFormat="1" applyFont="1" applyAlignment="1">
      <alignment horizontal="center" vertical="center"/>
    </xf>
    <xf numFmtId="0" fontId="0" fillId="0" borderId="0" xfId="0" applyAlignment="1">
      <alignment horizontal="center" vertical="center"/>
    </xf>
    <xf numFmtId="1" fontId="0" fillId="0" borderId="0" xfId="0" quotePrefix="1" applyNumberFormat="1" applyFont="1" applyAlignment="1">
      <alignment horizontal="center" vertical="center"/>
    </xf>
    <xf numFmtId="1" fontId="0" fillId="0" borderId="0" xfId="0" quotePrefix="1" applyNumberFormat="1" applyFont="1" applyAlignment="1">
      <alignment horizontal="center"/>
    </xf>
    <xf numFmtId="1" fontId="0" fillId="0" borderId="0" xfId="0" quotePrefix="1" applyNumberFormat="1" applyFont="1" applyFill="1" applyBorder="1" applyAlignment="1">
      <alignment horizontal="center" vertical="center"/>
    </xf>
    <xf numFmtId="1" fontId="0" fillId="0" borderId="0" xfId="0" applyNumberFormat="1" applyAlignment="1">
      <alignment horizontal="center" vertical="center"/>
    </xf>
    <xf numFmtId="1" fontId="2" fillId="0" borderId="0" xfId="0" quotePrefix="1" applyNumberFormat="1" applyFont="1" applyAlignment="1">
      <alignment horizontal="center" vertical="center"/>
    </xf>
    <xf numFmtId="1" fontId="2" fillId="0" borderId="0" xfId="0" quotePrefix="1" applyNumberFormat="1" applyFont="1" applyAlignment="1">
      <alignment horizontal="center"/>
    </xf>
    <xf numFmtId="0" fontId="2" fillId="0" borderId="0" xfId="0" quotePrefix="1" applyFont="1" applyFill="1" applyBorder="1"/>
    <xf numFmtId="1" fontId="2" fillId="0" borderId="0" xfId="0" quotePrefix="1" applyNumberFormat="1" applyFont="1" applyFill="1" applyBorder="1" applyAlignment="1">
      <alignment horizontal="center" vertical="center"/>
    </xf>
    <xf numFmtId="1" fontId="2" fillId="0" borderId="0" xfId="0" quotePrefix="1" applyNumberFormat="1" applyFont="1" applyFill="1" applyBorder="1" applyAlignment="1">
      <alignment horizontal="center"/>
    </xf>
    <xf numFmtId="0" fontId="0" fillId="0" borderId="0" xfId="0" quotePrefix="1" applyFont="1" applyFill="1" applyBorder="1" applyAlignment="1">
      <alignment horizontal="center" vertical="center"/>
    </xf>
    <xf numFmtId="164" fontId="2" fillId="0" borderId="0" xfId="0" quotePrefix="1" applyNumberFormat="1" applyFont="1" applyFill="1" applyBorder="1" applyAlignment="1">
      <alignment horizontal="center" vertical="center"/>
    </xf>
    <xf numFmtId="164" fontId="0" fillId="0" borderId="0" xfId="0" quotePrefix="1" applyNumberFormat="1" applyFont="1" applyFill="1" applyBorder="1" applyAlignment="1">
      <alignment horizontal="center" vertical="center"/>
    </xf>
    <xf numFmtId="0" fontId="0" fillId="0" borderId="0" xfId="0" applyFont="1"/>
    <xf numFmtId="0" fontId="0" fillId="5" borderId="9" xfId="0" applyFill="1" applyBorder="1" applyAlignment="1">
      <alignment horizontal="center" vertical="center" wrapText="1"/>
    </xf>
    <xf numFmtId="0" fontId="0" fillId="0" borderId="3" xfId="0" applyBorder="1"/>
    <xf numFmtId="1" fontId="0" fillId="0" borderId="0" xfId="0" applyNumberFormat="1" applyFont="1" applyAlignment="1">
      <alignment horizontal="center" vertical="center"/>
    </xf>
    <xf numFmtId="0" fontId="0" fillId="4" borderId="0" xfId="0" applyFill="1" applyBorder="1"/>
    <xf numFmtId="0" fontId="0" fillId="4" borderId="5" xfId="0" applyFill="1" applyBorder="1"/>
    <xf numFmtId="0" fontId="0" fillId="6" borderId="0" xfId="0" applyFill="1" applyAlignment="1">
      <alignment horizontal="center" vertical="center" wrapText="1"/>
    </xf>
    <xf numFmtId="0" fontId="0" fillId="2" borderId="0" xfId="0" quotePrefix="1" applyFill="1" applyBorder="1" applyAlignment="1">
      <alignment horizontal="center" vertical="center"/>
    </xf>
    <xf numFmtId="0" fontId="0" fillId="2" borderId="2" xfId="0" quotePrefix="1" applyFill="1" applyBorder="1" applyAlignment="1">
      <alignment horizontal="center" vertical="center"/>
    </xf>
    <xf numFmtId="0" fontId="0" fillId="2" borderId="7" xfId="0" quotePrefix="1" applyFill="1" applyBorder="1" applyAlignment="1">
      <alignment horizontal="center" vertical="center"/>
    </xf>
    <xf numFmtId="0" fontId="2" fillId="2" borderId="0" xfId="0" quotePrefix="1" applyFont="1" applyFill="1" applyBorder="1" applyAlignment="1">
      <alignment horizontal="center" vertical="center"/>
    </xf>
    <xf numFmtId="0" fontId="0" fillId="0" borderId="0" xfId="0" applyFill="1" applyBorder="1"/>
    <xf numFmtId="2" fontId="0" fillId="0" borderId="0" xfId="0" applyNumberFormat="1"/>
    <xf numFmtId="1" fontId="2" fillId="0" borderId="0" xfId="0" applyNumberFormat="1" applyFont="1" applyAlignment="1">
      <alignment horizontal="center" vertical="center"/>
    </xf>
    <xf numFmtId="2" fontId="2" fillId="0" borderId="0" xfId="0" applyNumberFormat="1" applyFont="1" applyAlignment="1">
      <alignment horizontal="center" vertical="center"/>
    </xf>
    <xf numFmtId="2" fontId="0" fillId="0" borderId="0" xfId="0" applyNumberFormat="1" applyAlignment="1">
      <alignment horizontal="center" vertical="center"/>
    </xf>
    <xf numFmtId="2" fontId="2" fillId="0" borderId="0" xfId="0" quotePrefix="1" applyNumberFormat="1" applyFont="1" applyFill="1" applyBorder="1" applyAlignment="1">
      <alignment horizontal="center" vertical="center"/>
    </xf>
    <xf numFmtId="2" fontId="0" fillId="0" borderId="0" xfId="0" quotePrefix="1" applyNumberFormat="1" applyFont="1" applyFill="1" applyBorder="1" applyAlignment="1">
      <alignment horizontal="center" vertical="center"/>
    </xf>
    <xf numFmtId="2" fontId="0" fillId="0" borderId="0" xfId="0" quotePrefix="1" applyNumberFormat="1" applyFont="1" applyFill="1" applyBorder="1"/>
    <xf numFmtId="2" fontId="0" fillId="0" borderId="0" xfId="0" applyNumberFormat="1" applyFont="1"/>
    <xf numFmtId="0" fontId="2" fillId="0" borderId="0" xfId="0" applyFont="1" applyBorder="1" applyAlignment="1">
      <alignment horizontal="center" vertical="center"/>
    </xf>
    <xf numFmtId="0" fontId="0" fillId="8" borderId="0" xfId="0" applyFill="1" applyAlignment="1">
      <alignment horizontal="center" vertical="center" wrapText="1"/>
    </xf>
    <xf numFmtId="0" fontId="0" fillId="0" borderId="4" xfId="0" applyBorder="1" applyAlignment="1">
      <alignment horizontal="right"/>
    </xf>
    <xf numFmtId="0" fontId="0" fillId="0" borderId="4" xfId="0" applyBorder="1" applyAlignment="1">
      <alignment horizontal="right" vertical="center"/>
    </xf>
    <xf numFmtId="0" fontId="0" fillId="0" borderId="6" xfId="0" applyBorder="1" applyAlignment="1">
      <alignment horizontal="right" vertical="center"/>
    </xf>
    <xf numFmtId="0" fontId="7" fillId="7" borderId="0" xfId="0" quotePrefix="1" applyFont="1" applyFill="1" applyBorder="1" applyAlignment="1">
      <alignment horizontal="center" vertical="center"/>
    </xf>
    <xf numFmtId="1" fontId="7" fillId="0" borderId="0" xfId="0" applyNumberFormat="1" applyFont="1" applyBorder="1" applyAlignment="1">
      <alignment horizontal="center" vertical="center"/>
    </xf>
    <xf numFmtId="1" fontId="7" fillId="2" borderId="0" xfId="0" applyNumberFormat="1" applyFont="1" applyFill="1" applyBorder="1" applyAlignment="1">
      <alignment horizontal="center" vertical="center"/>
    </xf>
    <xf numFmtId="1" fontId="7" fillId="0" borderId="0" xfId="0" applyNumberFormat="1" applyFont="1" applyFill="1" applyBorder="1" applyAlignment="1">
      <alignment horizontal="center" vertical="center"/>
    </xf>
    <xf numFmtId="2" fontId="7" fillId="0" borderId="0" xfId="0" applyNumberFormat="1" applyFont="1" applyBorder="1" applyAlignment="1">
      <alignment horizontal="center" vertical="center"/>
    </xf>
    <xf numFmtId="0" fontId="0" fillId="0" borderId="5" xfId="0" applyBorder="1" applyAlignment="1">
      <alignment horizontal="center" vertical="center"/>
    </xf>
    <xf numFmtId="0" fontId="2" fillId="0" borderId="7" xfId="0" applyFont="1" applyBorder="1" applyAlignment="1">
      <alignment horizontal="center" vertical="center"/>
    </xf>
    <xf numFmtId="0" fontId="7" fillId="7" borderId="7" xfId="0" quotePrefix="1" applyFont="1" applyFill="1" applyBorder="1" applyAlignment="1">
      <alignment horizontal="center" vertical="center"/>
    </xf>
    <xf numFmtId="2" fontId="7" fillId="0" borderId="7" xfId="0" applyNumberFormat="1" applyFont="1" applyBorder="1" applyAlignment="1">
      <alignment horizontal="center" vertical="center"/>
    </xf>
    <xf numFmtId="0" fontId="0" fillId="0" borderId="8" xfId="0" applyBorder="1" applyAlignment="1">
      <alignment horizontal="center" vertical="center"/>
    </xf>
    <xf numFmtId="0" fontId="2"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8" borderId="11" xfId="0" applyFont="1" applyFill="1" applyBorder="1" applyAlignment="1">
      <alignment horizontal="center" vertical="center" wrapText="1"/>
    </xf>
    <xf numFmtId="0" fontId="4" fillId="8" borderId="11"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4" fillId="6" borderId="11" xfId="0" applyFont="1" applyFill="1" applyBorder="1" applyAlignment="1">
      <alignment horizontal="center" vertical="center" wrapText="1"/>
    </xf>
    <xf numFmtId="0" fontId="4" fillId="7" borderId="12" xfId="0" applyFont="1" applyFill="1" applyBorder="1" applyAlignment="1">
      <alignment horizontal="center" vertical="center" wrapText="1"/>
    </xf>
    <xf numFmtId="2" fontId="7" fillId="2" borderId="0" xfId="0" applyNumberFormat="1" applyFont="1" applyFill="1" applyBorder="1" applyAlignment="1">
      <alignment horizontal="center" vertical="center"/>
    </xf>
    <xf numFmtId="2" fontId="7" fillId="0" borderId="0" xfId="0" applyNumberFormat="1" applyFont="1" applyFill="1" applyBorder="1" applyAlignment="1">
      <alignment horizontal="center" vertical="center"/>
    </xf>
    <xf numFmtId="2" fontId="7" fillId="2" borderId="7" xfId="0" applyNumberFormat="1" applyFont="1" applyFill="1" applyBorder="1" applyAlignment="1">
      <alignment horizontal="center" vertical="center"/>
    </xf>
    <xf numFmtId="2" fontId="7" fillId="0" borderId="7" xfId="0" applyNumberFormat="1" applyFont="1" applyFill="1" applyBorder="1" applyAlignment="1">
      <alignment horizontal="center" vertical="center"/>
    </xf>
    <xf numFmtId="2" fontId="7" fillId="7" borderId="0" xfId="0" quotePrefix="1" applyNumberFormat="1" applyFont="1" applyFill="1" applyBorder="1" applyAlignment="1">
      <alignment horizontal="center" vertical="center"/>
    </xf>
    <xf numFmtId="0" fontId="6" fillId="5" borderId="11"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0" fillId="0" borderId="2" xfId="0" quotePrefix="1" applyFont="1" applyFill="1" applyBorder="1" applyAlignment="1">
      <alignment horizontal="center" vertical="center"/>
    </xf>
    <xf numFmtId="0" fontId="0" fillId="0" borderId="0" xfId="0" quotePrefix="1" applyFont="1" applyFill="1" applyAlignment="1">
      <alignment horizontal="center" vertical="center"/>
    </xf>
    <xf numFmtId="0" fontId="0" fillId="0" borderId="7" xfId="0" applyFill="1" applyBorder="1"/>
    <xf numFmtId="0" fontId="0" fillId="0" borderId="0" xfId="0" applyFill="1"/>
    <xf numFmtId="0" fontId="0" fillId="0" borderId="2" xfId="0" applyFill="1" applyBorder="1"/>
    <xf numFmtId="0" fontId="0" fillId="2" borderId="0" xfId="0" applyFill="1" applyBorder="1" applyAlignment="1">
      <alignment horizontal="center" vertical="center"/>
    </xf>
    <xf numFmtId="0" fontId="0" fillId="2" borderId="7" xfId="0" applyFill="1" applyBorder="1" applyAlignment="1">
      <alignment horizontal="center" vertical="center"/>
    </xf>
    <xf numFmtId="0" fontId="0" fillId="2" borderId="3" xfId="0" applyFill="1" applyBorder="1" applyAlignment="1">
      <alignment horizontal="center" vertical="center"/>
    </xf>
    <xf numFmtId="0" fontId="0" fillId="2" borderId="5" xfId="0" applyFill="1" applyBorder="1" applyAlignment="1">
      <alignment horizontal="center" vertical="center"/>
    </xf>
    <xf numFmtId="0" fontId="0" fillId="2" borderId="5" xfId="0" quotePrefix="1" applyFill="1" applyBorder="1" applyAlignment="1">
      <alignment horizontal="center" vertical="center"/>
    </xf>
    <xf numFmtId="0" fontId="0" fillId="2" borderId="8" xfId="0" quotePrefix="1" applyFill="1" applyBorder="1" applyAlignment="1">
      <alignment horizontal="center" vertical="center"/>
    </xf>
    <xf numFmtId="0" fontId="0" fillId="2" borderId="3" xfId="0" quotePrefix="1" applyFill="1" applyBorder="1" applyAlignment="1">
      <alignment horizontal="center" vertical="center"/>
    </xf>
    <xf numFmtId="0" fontId="1" fillId="0" borderId="2" xfId="0" quotePrefix="1" applyFont="1" applyFill="1" applyBorder="1" applyAlignment="1">
      <alignment horizontal="center" vertical="center"/>
    </xf>
    <xf numFmtId="0" fontId="2" fillId="2" borderId="5" xfId="0" quotePrefix="1" applyFont="1" applyFill="1" applyBorder="1" applyAlignment="1">
      <alignment horizontal="center" vertical="center"/>
    </xf>
    <xf numFmtId="0" fontId="5" fillId="0" borderId="0" xfId="0" applyFont="1"/>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0" fillId="0" borderId="5" xfId="0" applyFill="1" applyBorder="1"/>
    <xf numFmtId="0" fontId="2" fillId="10" borderId="0" xfId="0" applyFont="1" applyFill="1" applyAlignment="1">
      <alignment horizontal="center" vertical="center" wrapText="1"/>
    </xf>
    <xf numFmtId="0" fontId="0" fillId="0" borderId="13" xfId="0" applyBorder="1" applyAlignment="1">
      <alignment horizontal="center" vertical="center"/>
    </xf>
    <xf numFmtId="0" fontId="0" fillId="0" borderId="0" xfId="0" applyBorder="1" applyAlignment="1">
      <alignment horizontal="center" vertical="center"/>
    </xf>
    <xf numFmtId="0" fontId="2" fillId="10" borderId="13" xfId="0" applyFont="1" applyFill="1" applyBorder="1" applyAlignment="1">
      <alignment horizontal="center" vertical="center"/>
    </xf>
    <xf numFmtId="10" fontId="0" fillId="0" borderId="13" xfId="0" applyNumberFormat="1" applyBorder="1" applyAlignment="1">
      <alignment horizontal="center" vertical="center"/>
    </xf>
    <xf numFmtId="0" fontId="8" fillId="10" borderId="13" xfId="0" applyFont="1" applyFill="1" applyBorder="1"/>
    <xf numFmtId="0" fontId="8" fillId="10" borderId="13" xfId="0" applyFont="1" applyFill="1" applyBorder="1" applyAlignment="1">
      <alignment horizontal="center" vertical="center" wrapText="1"/>
    </xf>
    <xf numFmtId="0" fontId="8" fillId="10" borderId="18" xfId="0" applyFont="1" applyFill="1" applyBorder="1" applyAlignment="1">
      <alignment horizontal="center" vertical="center" wrapText="1"/>
    </xf>
    <xf numFmtId="0" fontId="0" fillId="0" borderId="18" xfId="0" applyBorder="1" applyAlignment="1">
      <alignment horizontal="center" vertical="center"/>
    </xf>
    <xf numFmtId="0" fontId="2" fillId="0" borderId="4" xfId="0" applyFont="1" applyFill="1" applyBorder="1"/>
    <xf numFmtId="0" fontId="8" fillId="10" borderId="19" xfId="0" applyFont="1" applyFill="1" applyBorder="1" applyAlignment="1">
      <alignment horizontal="center" vertical="center" wrapText="1"/>
    </xf>
    <xf numFmtId="0" fontId="8" fillId="10" borderId="19" xfId="0" applyFont="1" applyFill="1" applyBorder="1" applyAlignment="1">
      <alignment horizontal="center" vertical="center"/>
    </xf>
    <xf numFmtId="0" fontId="8" fillId="10" borderId="20" xfId="0" applyFont="1" applyFill="1" applyBorder="1" applyAlignment="1">
      <alignment horizontal="center" vertical="center"/>
    </xf>
    <xf numFmtId="10" fontId="0" fillId="0" borderId="21" xfId="0" applyNumberFormat="1" applyBorder="1" applyAlignment="1">
      <alignment horizontal="center" vertical="center"/>
    </xf>
    <xf numFmtId="0" fontId="0" fillId="0" borderId="22" xfId="0" applyBorder="1" applyAlignment="1">
      <alignment horizontal="right"/>
    </xf>
    <xf numFmtId="0" fontId="2" fillId="0" borderId="23" xfId="0" applyFont="1" applyBorder="1" applyAlignment="1">
      <alignment horizontal="center" vertical="center"/>
    </xf>
    <xf numFmtId="0" fontId="7" fillId="7" borderId="23" xfId="0" quotePrefix="1" applyFont="1" applyFill="1" applyBorder="1" applyAlignment="1">
      <alignment horizontal="center" vertical="center"/>
    </xf>
    <xf numFmtId="1" fontId="7" fillId="0" borderId="23" xfId="0" applyNumberFormat="1" applyFont="1" applyBorder="1" applyAlignment="1">
      <alignment horizontal="center" vertical="center"/>
    </xf>
    <xf numFmtId="1" fontId="7" fillId="2" borderId="23" xfId="0" applyNumberFormat="1" applyFont="1" applyFill="1" applyBorder="1" applyAlignment="1">
      <alignment horizontal="center" vertical="center"/>
    </xf>
    <xf numFmtId="1" fontId="7" fillId="0" borderId="23" xfId="0" applyNumberFormat="1" applyFont="1" applyFill="1" applyBorder="1" applyAlignment="1">
      <alignment horizontal="center" vertical="center"/>
    </xf>
    <xf numFmtId="2" fontId="7" fillId="0" borderId="23" xfId="0" applyNumberFormat="1" applyFont="1" applyBorder="1" applyAlignment="1">
      <alignment horizontal="center" vertical="center"/>
    </xf>
    <xf numFmtId="0" fontId="0" fillId="0" borderId="24" xfId="0" applyBorder="1" applyAlignment="1">
      <alignment horizontal="center" vertical="center"/>
    </xf>
    <xf numFmtId="0" fontId="0" fillId="0" borderId="25" xfId="0" applyBorder="1"/>
    <xf numFmtId="0" fontId="2" fillId="0" borderId="26" xfId="0" applyFont="1" applyBorder="1" applyAlignment="1">
      <alignment horizontal="center" vertical="center"/>
    </xf>
    <xf numFmtId="0" fontId="7" fillId="7" borderId="26" xfId="0" quotePrefix="1" applyFont="1" applyFill="1" applyBorder="1" applyAlignment="1">
      <alignment horizontal="center" vertical="center"/>
    </xf>
    <xf numFmtId="1" fontId="7" fillId="0" borderId="26" xfId="0" applyNumberFormat="1" applyFont="1" applyBorder="1" applyAlignment="1">
      <alignment horizontal="center" vertical="center"/>
    </xf>
    <xf numFmtId="1" fontId="7" fillId="2" borderId="26" xfId="0" applyNumberFormat="1" applyFont="1" applyFill="1" applyBorder="1" applyAlignment="1">
      <alignment horizontal="center" vertical="center"/>
    </xf>
    <xf numFmtId="1" fontId="7" fillId="0" borderId="26" xfId="0" applyNumberFormat="1" applyFont="1" applyFill="1" applyBorder="1" applyAlignment="1">
      <alignment horizontal="center" vertical="center"/>
    </xf>
    <xf numFmtId="2" fontId="7" fillId="0" borderId="26" xfId="0" applyNumberFormat="1" applyFont="1"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right"/>
    </xf>
    <xf numFmtId="0" fontId="2" fillId="0" borderId="29" xfId="0" applyFont="1" applyBorder="1" applyAlignment="1">
      <alignment horizontal="center" vertical="center"/>
    </xf>
    <xf numFmtId="0" fontId="0" fillId="7" borderId="29" xfId="0" applyFill="1" applyBorder="1" applyAlignment="1">
      <alignment horizontal="center"/>
    </xf>
    <xf numFmtId="1" fontId="7" fillId="0" borderId="29" xfId="0" applyNumberFormat="1" applyFont="1" applyBorder="1" applyAlignment="1">
      <alignment horizontal="center" vertical="center"/>
    </xf>
    <xf numFmtId="1" fontId="7" fillId="2" borderId="29" xfId="0" applyNumberFormat="1" applyFont="1" applyFill="1" applyBorder="1" applyAlignment="1">
      <alignment horizontal="center" vertical="center"/>
    </xf>
    <xf numFmtId="1" fontId="7" fillId="0" borderId="29" xfId="0" applyNumberFormat="1" applyFont="1" applyFill="1" applyBorder="1" applyAlignment="1">
      <alignment horizontal="center" vertical="center"/>
    </xf>
    <xf numFmtId="2" fontId="7" fillId="0" borderId="29" xfId="0" applyNumberFormat="1" applyFont="1" applyBorder="1" applyAlignment="1">
      <alignment horizontal="center" vertical="center"/>
    </xf>
    <xf numFmtId="0" fontId="0" fillId="0" borderId="30" xfId="0" applyBorder="1" applyAlignment="1">
      <alignment horizontal="center" vertical="center"/>
    </xf>
    <xf numFmtId="0" fontId="0" fillId="7" borderId="26" xfId="0" applyFill="1" applyBorder="1" applyAlignment="1">
      <alignment horizontal="center"/>
    </xf>
    <xf numFmtId="0" fontId="0" fillId="0" borderId="28" xfId="0" applyBorder="1" applyAlignment="1">
      <alignment horizontal="right" vertical="center"/>
    </xf>
    <xf numFmtId="0" fontId="2" fillId="0" borderId="29" xfId="0" applyFont="1" applyBorder="1" applyAlignment="1">
      <alignment horizontal="center" vertical="center" wrapText="1"/>
    </xf>
    <xf numFmtId="0" fontId="7" fillId="9" borderId="29" xfId="0" quotePrefix="1" applyFont="1" applyFill="1" applyBorder="1" applyAlignment="1">
      <alignment horizontal="center" vertical="center"/>
    </xf>
    <xf numFmtId="0" fontId="0" fillId="9" borderId="29" xfId="0" applyFill="1" applyBorder="1" applyAlignment="1">
      <alignment horizontal="center" vertical="center"/>
    </xf>
    <xf numFmtId="0" fontId="0" fillId="9" borderId="30" xfId="0" applyFill="1" applyBorder="1" applyAlignment="1">
      <alignment horizontal="center" vertical="center"/>
    </xf>
    <xf numFmtId="0" fontId="0" fillId="0" borderId="25" xfId="0" applyBorder="1" applyAlignment="1">
      <alignment horizontal="right" vertical="center"/>
    </xf>
    <xf numFmtId="0" fontId="2" fillId="0" borderId="26" xfId="0" applyFont="1" applyBorder="1" applyAlignment="1">
      <alignment horizontal="center" vertical="center" wrapText="1"/>
    </xf>
    <xf numFmtId="0" fontId="7" fillId="9" borderId="26" xfId="0" quotePrefix="1" applyFont="1" applyFill="1" applyBorder="1" applyAlignment="1">
      <alignment horizontal="center" vertical="center"/>
    </xf>
    <xf numFmtId="0" fontId="0" fillId="9" borderId="26" xfId="0" applyFill="1" applyBorder="1" applyAlignment="1">
      <alignment horizontal="center" vertical="center"/>
    </xf>
    <xf numFmtId="0" fontId="0" fillId="9" borderId="27" xfId="0" applyFill="1" applyBorder="1" applyAlignment="1">
      <alignment horizontal="center" vertical="center"/>
    </xf>
    <xf numFmtId="0" fontId="7" fillId="7" borderId="29" xfId="0" quotePrefix="1" applyFont="1" applyFill="1" applyBorder="1" applyAlignment="1">
      <alignment horizontal="center" vertical="center"/>
    </xf>
    <xf numFmtId="2" fontId="7" fillId="2" borderId="29" xfId="0" applyNumberFormat="1" applyFont="1" applyFill="1" applyBorder="1" applyAlignment="1">
      <alignment horizontal="center" vertical="center"/>
    </xf>
    <xf numFmtId="2" fontId="7" fillId="0" borderId="29" xfId="0" applyNumberFormat="1" applyFont="1" applyFill="1" applyBorder="1" applyAlignment="1">
      <alignment horizontal="center" vertical="center"/>
    </xf>
    <xf numFmtId="2" fontId="7" fillId="2" borderId="26" xfId="0" applyNumberFormat="1" applyFont="1" applyFill="1" applyBorder="1" applyAlignment="1">
      <alignment horizontal="center" vertical="center"/>
    </xf>
    <xf numFmtId="2" fontId="7" fillId="0" borderId="26" xfId="0" applyNumberFormat="1" applyFont="1" applyFill="1" applyBorder="1" applyAlignment="1">
      <alignment horizontal="center" vertical="center"/>
    </xf>
    <xf numFmtId="0" fontId="0" fillId="0" borderId="31" xfId="0" applyBorder="1" applyAlignment="1">
      <alignment horizontal="right" vertical="center"/>
    </xf>
    <xf numFmtId="0" fontId="2" fillId="0" borderId="32" xfId="0" applyFont="1" applyBorder="1" applyAlignment="1">
      <alignment horizontal="center" vertical="center"/>
    </xf>
    <xf numFmtId="0" fontId="7" fillId="7" borderId="32" xfId="0" quotePrefix="1" applyFont="1" applyFill="1" applyBorder="1" applyAlignment="1">
      <alignment horizontal="center" vertical="center"/>
    </xf>
    <xf numFmtId="1" fontId="7" fillId="0" borderId="32" xfId="0" applyNumberFormat="1" applyFont="1" applyBorder="1" applyAlignment="1">
      <alignment horizontal="center" vertical="center"/>
    </xf>
    <xf numFmtId="1" fontId="7" fillId="2" borderId="32" xfId="0" applyNumberFormat="1" applyFont="1" applyFill="1" applyBorder="1" applyAlignment="1">
      <alignment horizontal="center" vertical="center"/>
    </xf>
    <xf numFmtId="1" fontId="7" fillId="0" borderId="32" xfId="0" applyNumberFormat="1" applyFont="1" applyFill="1" applyBorder="1" applyAlignment="1">
      <alignment horizontal="center" vertical="center"/>
    </xf>
    <xf numFmtId="2" fontId="7" fillId="0" borderId="32" xfId="0" applyNumberFormat="1" applyFont="1"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right" vertical="center"/>
    </xf>
    <xf numFmtId="0" fontId="2" fillId="0" borderId="35" xfId="0" applyFont="1" applyBorder="1" applyAlignment="1">
      <alignment horizontal="center" vertical="center"/>
    </xf>
    <xf numFmtId="0" fontId="7" fillId="7" borderId="35" xfId="0" quotePrefix="1" applyFont="1" applyFill="1" applyBorder="1" applyAlignment="1">
      <alignment horizontal="center" vertical="center"/>
    </xf>
    <xf numFmtId="1" fontId="7" fillId="0" borderId="35" xfId="0" applyNumberFormat="1" applyFont="1" applyBorder="1" applyAlignment="1">
      <alignment horizontal="center" vertical="center"/>
    </xf>
    <xf numFmtId="1" fontId="7" fillId="2" borderId="35" xfId="0" applyNumberFormat="1" applyFont="1" applyFill="1" applyBorder="1" applyAlignment="1">
      <alignment horizontal="center" vertical="center"/>
    </xf>
    <xf numFmtId="1" fontId="7" fillId="0" borderId="35" xfId="0" applyNumberFormat="1" applyFont="1" applyFill="1" applyBorder="1" applyAlignment="1">
      <alignment horizontal="center" vertical="center"/>
    </xf>
    <xf numFmtId="2" fontId="7" fillId="0" borderId="35" xfId="0" applyNumberFormat="1" applyFont="1" applyBorder="1" applyAlignment="1">
      <alignment horizontal="center" vertical="center"/>
    </xf>
    <xf numFmtId="0" fontId="0" fillId="0" borderId="36" xfId="0" applyBorder="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5" fontId="0" fillId="2" borderId="0" xfId="0" applyNumberFormat="1" applyFill="1" applyAlignment="1">
      <alignment horizontal="center" vertical="center"/>
    </xf>
    <xf numFmtId="0" fontId="0" fillId="2" borderId="0" xfId="0" applyFill="1"/>
    <xf numFmtId="2" fontId="0" fillId="0" borderId="0" xfId="0" applyNumberFormat="1" applyAlignment="1">
      <alignment horizontal="center"/>
    </xf>
    <xf numFmtId="0" fontId="0" fillId="2" borderId="0" xfId="0" applyFill="1" applyAlignment="1">
      <alignment horizontal="center" vertical="center"/>
    </xf>
    <xf numFmtId="166" fontId="0" fillId="0" borderId="0" xfId="0" applyNumberFormat="1" applyAlignment="1">
      <alignment horizontal="center" vertical="center"/>
    </xf>
    <xf numFmtId="0" fontId="6" fillId="0" borderId="0" xfId="0" applyFont="1" applyBorder="1" applyAlignment="1">
      <alignment horizontal="center" vertical="center" wrapText="1"/>
    </xf>
    <xf numFmtId="0" fontId="2" fillId="10" borderId="13" xfId="0" applyFont="1" applyFill="1" applyBorder="1" applyAlignment="1">
      <alignment horizontal="center" vertical="center" wrapText="1"/>
    </xf>
    <xf numFmtId="0" fontId="2" fillId="10" borderId="16" xfId="0" applyFont="1" applyFill="1" applyBorder="1" applyAlignment="1">
      <alignment horizontal="center" vertical="center" wrapText="1"/>
    </xf>
    <xf numFmtId="0" fontId="0" fillId="0" borderId="13" xfId="0" applyBorder="1"/>
    <xf numFmtId="1" fontId="0" fillId="0" borderId="13" xfId="0" applyNumberFormat="1" applyBorder="1" applyAlignment="1">
      <alignment horizontal="center" vertical="center"/>
    </xf>
    <xf numFmtId="164" fontId="0" fillId="0" borderId="13" xfId="0" applyNumberFormat="1" applyBorder="1" applyAlignment="1">
      <alignment horizontal="center" vertical="center"/>
    </xf>
    <xf numFmtId="0" fontId="9" fillId="9" borderId="13" xfId="0" applyFont="1" applyFill="1" applyBorder="1" applyAlignment="1">
      <alignment horizontal="center" vertical="center" wrapText="1"/>
    </xf>
    <xf numFmtId="0" fontId="9" fillId="9" borderId="13" xfId="0" applyFont="1" applyFill="1" applyBorder="1" applyAlignment="1">
      <alignment horizontal="center" vertical="center"/>
    </xf>
    <xf numFmtId="0" fontId="9" fillId="9" borderId="14" xfId="0" applyFont="1" applyFill="1" applyBorder="1" applyAlignment="1">
      <alignment horizontal="center" vertical="center" wrapText="1"/>
    </xf>
    <xf numFmtId="10" fontId="0" fillId="0" borderId="13" xfId="0" applyNumberFormat="1" applyFill="1" applyBorder="1" applyAlignment="1">
      <alignment horizontal="center" vertical="center"/>
    </xf>
    <xf numFmtId="165" fontId="0" fillId="0" borderId="13" xfId="0" applyNumberFormat="1" applyBorder="1" applyAlignment="1">
      <alignment horizontal="center" vertical="center"/>
    </xf>
    <xf numFmtId="2" fontId="0" fillId="0" borderId="13" xfId="0" applyNumberFormat="1" applyBorder="1" applyAlignment="1">
      <alignment horizontal="center" vertical="center"/>
    </xf>
    <xf numFmtId="1" fontId="0" fillId="2" borderId="0" xfId="0" applyNumberFormat="1" applyFill="1" applyAlignment="1">
      <alignment horizontal="center" vertical="center"/>
    </xf>
    <xf numFmtId="0" fontId="0" fillId="0" borderId="13" xfId="0" applyBorder="1" applyAlignment="1">
      <alignment horizontal="center"/>
    </xf>
    <xf numFmtId="167" fontId="0" fillId="0" borderId="13" xfId="0" applyNumberFormat="1" applyBorder="1" applyAlignment="1">
      <alignment horizontal="center" vertical="center"/>
    </xf>
    <xf numFmtId="168" fontId="0" fillId="0" borderId="13" xfId="0" applyNumberFormat="1" applyBorder="1" applyAlignment="1">
      <alignment horizontal="center" vertical="center"/>
    </xf>
    <xf numFmtId="169" fontId="0" fillId="0" borderId="13" xfId="0" applyNumberFormat="1" applyBorder="1" applyAlignment="1">
      <alignment horizontal="center" vertical="center"/>
    </xf>
    <xf numFmtId="0" fontId="0" fillId="0" borderId="0" xfId="0" applyFill="1" applyAlignment="1">
      <alignment horizontal="center" vertical="center"/>
    </xf>
    <xf numFmtId="0" fontId="2" fillId="0" borderId="1" xfId="0" applyFont="1" applyBorder="1"/>
    <xf numFmtId="0" fontId="2" fillId="0" borderId="4" xfId="0" applyFont="1" applyBorder="1"/>
    <xf numFmtId="0" fontId="1" fillId="0" borderId="4" xfId="0" applyFont="1" applyBorder="1" applyAlignment="1">
      <alignment horizontal="left" vertical="center" wrapText="1"/>
    </xf>
    <xf numFmtId="0" fontId="2" fillId="0" borderId="0" xfId="0" applyFont="1" applyFill="1" applyBorder="1" applyAlignment="1">
      <alignment horizontal="right"/>
    </xf>
    <xf numFmtId="0" fontId="2" fillId="11" borderId="1" xfId="0" applyFont="1" applyFill="1" applyBorder="1"/>
    <xf numFmtId="0" fontId="0" fillId="11" borderId="2" xfId="0" applyFill="1" applyBorder="1"/>
    <xf numFmtId="0" fontId="2" fillId="11" borderId="4" xfId="0" applyFont="1" applyFill="1" applyBorder="1"/>
    <xf numFmtId="0" fontId="0" fillId="11" borderId="0" xfId="0" applyFill="1" applyBorder="1"/>
    <xf numFmtId="0" fontId="0" fillId="11" borderId="4" xfId="0" applyFill="1" applyBorder="1" applyAlignment="1">
      <alignment horizontal="left" vertical="center" wrapText="1"/>
    </xf>
    <xf numFmtId="0" fontId="1" fillId="11" borderId="4" xfId="0" applyFont="1" applyFill="1" applyBorder="1" applyAlignment="1">
      <alignment horizontal="left" vertical="center" wrapText="1"/>
    </xf>
    <xf numFmtId="0" fontId="0" fillId="11" borderId="4" xfId="0" applyFill="1" applyBorder="1"/>
    <xf numFmtId="0" fontId="0" fillId="11" borderId="6" xfId="0" applyFill="1" applyBorder="1"/>
    <xf numFmtId="0" fontId="0" fillId="11" borderId="7" xfId="0" applyFill="1" applyBorder="1"/>
    <xf numFmtId="0" fontId="0" fillId="11" borderId="3" xfId="0" applyFill="1" applyBorder="1"/>
    <xf numFmtId="0" fontId="0" fillId="11" borderId="5" xfId="0" applyFill="1" applyBorder="1"/>
    <xf numFmtId="0" fontId="0" fillId="11" borderId="8" xfId="0" applyFill="1" applyBorder="1"/>
    <xf numFmtId="0" fontId="2" fillId="11" borderId="7" xfId="0" applyFont="1" applyFill="1" applyBorder="1" applyAlignment="1">
      <alignment horizontal="right"/>
    </xf>
    <xf numFmtId="1" fontId="0" fillId="11" borderId="7" xfId="0" applyNumberFormat="1" applyFill="1" applyBorder="1" applyAlignment="1">
      <alignment horizontal="center" vertical="center"/>
    </xf>
    <xf numFmtId="0" fontId="2" fillId="11" borderId="0" xfId="0" applyFont="1" applyFill="1" applyBorder="1" applyAlignment="1">
      <alignment horizontal="right"/>
    </xf>
    <xf numFmtId="0" fontId="2" fillId="11" borderId="2" xfId="0" applyFont="1" applyFill="1" applyBorder="1" applyAlignment="1">
      <alignment horizontal="right"/>
    </xf>
    <xf numFmtId="1" fontId="0" fillId="11" borderId="2" xfId="0" applyNumberFormat="1" applyFill="1" applyBorder="1" applyAlignment="1">
      <alignment horizontal="center" vertical="center"/>
    </xf>
    <xf numFmtId="164" fontId="2" fillId="2" borderId="13" xfId="0" applyNumberFormat="1" applyFont="1" applyFill="1" applyBorder="1" applyAlignment="1">
      <alignment horizontal="center" vertical="center"/>
    </xf>
    <xf numFmtId="1" fontId="0" fillId="11" borderId="0" xfId="0" applyNumberFormat="1" applyFill="1" applyBorder="1" applyAlignment="1">
      <alignment horizontal="center" vertical="center"/>
    </xf>
    <xf numFmtId="0" fontId="0" fillId="11" borderId="1" xfId="0" applyFill="1" applyBorder="1"/>
    <xf numFmtId="1" fontId="0" fillId="2" borderId="13" xfId="0" applyNumberFormat="1" applyFill="1" applyBorder="1" applyAlignment="1">
      <alignment horizontal="center" vertical="center"/>
    </xf>
    <xf numFmtId="164" fontId="0" fillId="0" borderId="0" xfId="0" applyNumberFormat="1"/>
    <xf numFmtId="164" fontId="0" fillId="0" borderId="13" xfId="0" applyNumberFormat="1" applyFont="1" applyFill="1" applyBorder="1" applyAlignment="1">
      <alignment horizontal="center" vertical="center"/>
    </xf>
    <xf numFmtId="0" fontId="0" fillId="11" borderId="0" xfId="0" applyFill="1" applyBorder="1" applyAlignment="1">
      <alignment horizontal="left" vertical="center" wrapText="1"/>
    </xf>
    <xf numFmtId="0" fontId="0" fillId="11" borderId="0" xfId="0" applyFill="1" applyBorder="1" applyAlignment="1">
      <alignment vertical="center" wrapText="1"/>
    </xf>
    <xf numFmtId="0" fontId="0" fillId="0" borderId="4" xfId="0" applyBorder="1" applyAlignment="1">
      <alignment vertical="center" wrapText="1"/>
    </xf>
    <xf numFmtId="0" fontId="2" fillId="0" borderId="0" xfId="0" applyFont="1" applyBorder="1" applyAlignment="1">
      <alignment horizontal="right"/>
    </xf>
    <xf numFmtId="0" fontId="2" fillId="10" borderId="0" xfId="0" applyFont="1" applyFill="1" applyBorder="1" applyAlignment="1">
      <alignment horizontal="center" vertical="center" wrapText="1"/>
    </xf>
    <xf numFmtId="0" fontId="0" fillId="7" borderId="0" xfId="0" applyFill="1" applyBorder="1"/>
    <xf numFmtId="164" fontId="0" fillId="0" borderId="0" xfId="0" applyNumberFormat="1" applyBorder="1" applyAlignment="1">
      <alignment horizontal="center" vertical="center"/>
    </xf>
    <xf numFmtId="165" fontId="0" fillId="0" borderId="0" xfId="0" applyNumberFormat="1" applyBorder="1" applyAlignment="1">
      <alignment horizontal="center" vertical="center"/>
    </xf>
    <xf numFmtId="1" fontId="0" fillId="7" borderId="0" xfId="0" applyNumberFormat="1" applyFill="1" applyBorder="1" applyAlignment="1">
      <alignment horizontal="center" vertical="center"/>
    </xf>
    <xf numFmtId="164" fontId="0" fillId="7" borderId="0" xfId="0" applyNumberFormat="1" applyFill="1" applyBorder="1" applyAlignment="1">
      <alignment horizontal="center" vertical="center"/>
    </xf>
    <xf numFmtId="0" fontId="0" fillId="7" borderId="0" xfId="0" applyFill="1" applyBorder="1" applyAlignment="1">
      <alignment horizontal="center" vertical="center"/>
    </xf>
    <xf numFmtId="2" fontId="0" fillId="7" borderId="0" xfId="0" applyNumberFormat="1" applyFill="1" applyBorder="1" applyAlignment="1">
      <alignment horizontal="center" vertical="center"/>
    </xf>
    <xf numFmtId="0" fontId="0" fillId="11" borderId="2" xfId="0" applyFill="1" applyBorder="1" applyAlignment="1">
      <alignment horizontal="left" vertical="center" wrapText="1"/>
    </xf>
    <xf numFmtId="0" fontId="10" fillId="11" borderId="4" xfId="0" applyFont="1" applyFill="1" applyBorder="1" applyAlignment="1">
      <alignment horizontal="left" vertical="center" wrapText="1"/>
    </xf>
    <xf numFmtId="0" fontId="0" fillId="7" borderId="13" xfId="0" applyFill="1" applyBorder="1"/>
    <xf numFmtId="0" fontId="0" fillId="2" borderId="13" xfId="0" applyFill="1" applyBorder="1"/>
    <xf numFmtId="1" fontId="0" fillId="7" borderId="13" xfId="0" applyNumberFormat="1" applyFill="1" applyBorder="1" applyAlignment="1">
      <alignment horizontal="center" vertical="center"/>
    </xf>
    <xf numFmtId="164" fontId="0" fillId="7" borderId="13" xfId="0" applyNumberFormat="1" applyFill="1" applyBorder="1" applyAlignment="1">
      <alignment horizontal="center" vertical="center"/>
    </xf>
    <xf numFmtId="0" fontId="0" fillId="7" borderId="13" xfId="0" applyFill="1" applyBorder="1" applyAlignment="1">
      <alignment horizontal="center" vertical="center"/>
    </xf>
    <xf numFmtId="165" fontId="0" fillId="2" borderId="13" xfId="0" applyNumberFormat="1" applyFill="1" applyBorder="1" applyAlignment="1">
      <alignment horizontal="center" vertical="center"/>
    </xf>
    <xf numFmtId="2" fontId="0" fillId="0" borderId="13" xfId="0" applyNumberFormat="1" applyBorder="1" applyAlignment="1">
      <alignment horizontal="center"/>
    </xf>
    <xf numFmtId="2" fontId="0" fillId="7" borderId="13" xfId="0" applyNumberFormat="1" applyFill="1" applyBorder="1" applyAlignment="1">
      <alignment horizontal="center" vertical="center"/>
    </xf>
    <xf numFmtId="0" fontId="0" fillId="0" borderId="13" xfId="0" applyFill="1" applyBorder="1"/>
    <xf numFmtId="0" fontId="0" fillId="0" borderId="13" xfId="0" applyFill="1" applyBorder="1" applyAlignment="1">
      <alignment horizontal="center" vertical="center"/>
    </xf>
    <xf numFmtId="0" fontId="0" fillId="2" borderId="13" xfId="0" applyFill="1" applyBorder="1" applyAlignment="1">
      <alignment horizontal="center" vertical="center"/>
    </xf>
    <xf numFmtId="166" fontId="0" fillId="0" borderId="13" xfId="0" applyNumberFormat="1" applyBorder="1" applyAlignment="1">
      <alignment horizontal="center" vertical="center"/>
    </xf>
    <xf numFmtId="9" fontId="0" fillId="0" borderId="13" xfId="0" applyNumberFormat="1" applyBorder="1" applyAlignment="1">
      <alignment horizontal="center" vertical="center"/>
    </xf>
    <xf numFmtId="0" fontId="6" fillId="0" borderId="13" xfId="0" applyFont="1" applyFill="1" applyBorder="1" applyAlignment="1">
      <alignment horizontal="right"/>
    </xf>
    <xf numFmtId="0" fontId="6" fillId="0" borderId="13" xfId="0" applyFont="1" applyBorder="1" applyAlignment="1">
      <alignment horizontal="right" vertical="center"/>
    </xf>
    <xf numFmtId="0" fontId="8" fillId="0" borderId="13" xfId="0" applyFont="1" applyFill="1" applyBorder="1" applyAlignment="1">
      <alignment horizontal="right"/>
    </xf>
    <xf numFmtId="0" fontId="8" fillId="0" borderId="13" xfId="0" applyFont="1" applyBorder="1" applyAlignment="1">
      <alignment horizontal="right" vertical="center"/>
    </xf>
    <xf numFmtId="0" fontId="8" fillId="11" borderId="13" xfId="0" applyFont="1" applyFill="1" applyBorder="1" applyAlignment="1">
      <alignment horizontal="right" vertical="center"/>
    </xf>
    <xf numFmtId="0" fontId="8" fillId="9" borderId="13" xfId="0" applyFont="1" applyFill="1" applyBorder="1" applyAlignment="1">
      <alignment horizontal="right" vertical="center" wrapText="1"/>
    </xf>
    <xf numFmtId="0" fontId="2" fillId="0" borderId="0" xfId="0" applyFont="1" applyBorder="1"/>
    <xf numFmtId="0" fontId="2" fillId="0" borderId="0" xfId="0" applyFont="1" applyFill="1" applyAlignment="1">
      <alignment horizontal="center" vertical="center" wrapText="1"/>
    </xf>
    <xf numFmtId="1" fontId="0" fillId="0" borderId="0" xfId="0" applyNumberFormat="1" applyFill="1" applyAlignment="1">
      <alignment horizontal="center" vertical="center"/>
    </xf>
    <xf numFmtId="164" fontId="0" fillId="0" borderId="0" xfId="0" applyNumberFormat="1" applyFill="1" applyAlignment="1">
      <alignment horizontal="center" vertical="center"/>
    </xf>
    <xf numFmtId="2" fontId="0" fillId="0" borderId="0" xfId="0" applyNumberFormat="1" applyFill="1" applyAlignment="1">
      <alignment horizontal="center" vertical="center"/>
    </xf>
    <xf numFmtId="165" fontId="0" fillId="0" borderId="0" xfId="0" applyNumberFormat="1" applyFill="1" applyAlignment="1">
      <alignment horizontal="center" vertical="center"/>
    </xf>
    <xf numFmtId="167" fontId="0" fillId="0" borderId="0" xfId="0" applyNumberFormat="1" applyAlignment="1">
      <alignment horizontal="center" vertical="center"/>
    </xf>
    <xf numFmtId="164" fontId="0" fillId="2" borderId="0" xfId="0" applyNumberFormat="1" applyFill="1" applyAlignment="1">
      <alignment horizontal="center" vertical="center"/>
    </xf>
    <xf numFmtId="2" fontId="0" fillId="2" borderId="0" xfId="0" applyNumberFormat="1" applyFill="1" applyAlignment="1">
      <alignment horizontal="center" vertical="center"/>
    </xf>
    <xf numFmtId="0" fontId="0" fillId="0" borderId="13" xfId="0" applyBorder="1" applyAlignment="1">
      <alignment horizontal="center" vertical="center" wrapText="1"/>
    </xf>
    <xf numFmtId="169" fontId="0" fillId="0" borderId="13" xfId="0" applyNumberFormat="1" applyBorder="1" applyAlignment="1">
      <alignment horizontal="center" vertical="center" wrapText="1"/>
    </xf>
    <xf numFmtId="164" fontId="0" fillId="2" borderId="13" xfId="0" applyNumberFormat="1" applyFill="1" applyBorder="1" applyAlignment="1">
      <alignment horizontal="center" vertical="center"/>
    </xf>
    <xf numFmtId="0" fontId="0" fillId="2" borderId="13" xfId="0" applyFill="1" applyBorder="1" applyAlignment="1">
      <alignment horizontal="center" vertical="center" wrapText="1"/>
    </xf>
    <xf numFmtId="169" fontId="0" fillId="2" borderId="13" xfId="0" applyNumberFormat="1" applyFill="1" applyBorder="1" applyAlignment="1">
      <alignment horizontal="center" vertical="center"/>
    </xf>
    <xf numFmtId="2" fontId="0" fillId="2" borderId="13" xfId="0" applyNumberFormat="1" applyFill="1" applyBorder="1" applyAlignment="1">
      <alignment horizontal="center" vertical="center"/>
    </xf>
    <xf numFmtId="0" fontId="2" fillId="0" borderId="1" xfId="0" applyFont="1" applyBorder="1" applyAlignment="1">
      <alignment vertical="center"/>
    </xf>
    <xf numFmtId="0" fontId="0" fillId="0" borderId="0" xfId="0" applyFill="1" applyBorder="1" applyAlignment="1">
      <alignment horizontal="left" vertical="center" wrapText="1"/>
    </xf>
    <xf numFmtId="167" fontId="0" fillId="0" borderId="0" xfId="0" applyNumberFormat="1"/>
    <xf numFmtId="2"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10" borderId="37"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4" xfId="0" applyBorder="1" applyAlignment="1">
      <alignment horizontal="center" vertical="center"/>
    </xf>
    <xf numFmtId="0" fontId="0" fillId="0" borderId="7" xfId="0" applyFill="1" applyBorder="1" applyAlignment="1">
      <alignment horizontal="left" vertical="center" wrapText="1"/>
    </xf>
    <xf numFmtId="164" fontId="12" fillId="0" borderId="0" xfId="0" applyNumberFormat="1" applyFont="1" applyBorder="1" applyAlignment="1">
      <alignment horizontal="center" vertical="center" wrapText="1"/>
    </xf>
    <xf numFmtId="164" fontId="0" fillId="0" borderId="0" xfId="0" applyNumberFormat="1" applyFill="1" applyBorder="1" applyAlignment="1">
      <alignment horizontal="center" vertical="center"/>
    </xf>
    <xf numFmtId="0" fontId="0" fillId="0" borderId="39" xfId="0" applyFill="1" applyBorder="1" applyAlignment="1">
      <alignment horizontal="center" vertical="center"/>
    </xf>
    <xf numFmtId="0" fontId="0" fillId="0" borderId="38" xfId="0" applyBorder="1"/>
    <xf numFmtId="0" fontId="0" fillId="0" borderId="40" xfId="0" applyBorder="1"/>
    <xf numFmtId="0" fontId="0" fillId="0" borderId="41" xfId="0" applyFill="1" applyBorder="1" applyAlignment="1">
      <alignment horizontal="center" vertical="center"/>
    </xf>
    <xf numFmtId="1" fontId="0" fillId="0" borderId="0" xfId="0" applyNumberFormat="1" applyFill="1" applyBorder="1" applyAlignment="1">
      <alignment horizontal="center" vertical="center"/>
    </xf>
    <xf numFmtId="164" fontId="0" fillId="0" borderId="42" xfId="0" applyNumberFormat="1" applyBorder="1" applyAlignment="1">
      <alignment horizontal="center" vertical="center"/>
    </xf>
    <xf numFmtId="0" fontId="0" fillId="0" borderId="43" xfId="0" applyFill="1" applyBorder="1" applyAlignment="1">
      <alignment horizontal="center" vertical="center"/>
    </xf>
    <xf numFmtId="1" fontId="0" fillId="0" borderId="44" xfId="0" applyNumberFormat="1" applyFill="1" applyBorder="1" applyAlignment="1">
      <alignment horizontal="center" vertical="center"/>
    </xf>
    <xf numFmtId="164" fontId="0" fillId="0" borderId="44" xfId="0" applyNumberFormat="1" applyFill="1" applyBorder="1" applyAlignment="1">
      <alignment horizontal="center" vertical="center"/>
    </xf>
    <xf numFmtId="0" fontId="0" fillId="0" borderId="44" xfId="0" applyBorder="1"/>
    <xf numFmtId="164" fontId="0" fillId="0" borderId="45" xfId="0" applyNumberFormat="1" applyBorder="1" applyAlignment="1">
      <alignment horizontal="center" vertical="center"/>
    </xf>
    <xf numFmtId="2" fontId="0" fillId="0" borderId="44" xfId="0" applyNumberFormat="1" applyBorder="1" applyAlignment="1">
      <alignment horizontal="center" vertical="center"/>
    </xf>
    <xf numFmtId="0" fontId="0" fillId="0" borderId="44" xfId="0" applyFill="1" applyBorder="1" applyAlignment="1">
      <alignment horizontal="center" vertical="center"/>
    </xf>
    <xf numFmtId="0" fontId="2" fillId="10" borderId="39" xfId="0" applyFont="1" applyFill="1" applyBorder="1" applyAlignment="1">
      <alignment horizontal="center" vertical="center" wrapText="1"/>
    </xf>
    <xf numFmtId="0" fontId="2" fillId="10" borderId="38" xfId="0" applyFont="1" applyFill="1" applyBorder="1" applyAlignment="1">
      <alignment horizontal="center" vertical="center" wrapText="1"/>
    </xf>
    <xf numFmtId="0" fontId="2" fillId="10" borderId="40" xfId="0" applyFont="1" applyFill="1" applyBorder="1" applyAlignment="1">
      <alignment horizontal="center" vertical="center" wrapText="1"/>
    </xf>
    <xf numFmtId="0" fontId="0" fillId="0" borderId="44" xfId="0" applyBorder="1" applyAlignment="1">
      <alignment horizontal="center" vertical="center"/>
    </xf>
    <xf numFmtId="0" fontId="0" fillId="0" borderId="38" xfId="0" applyBorder="1" applyAlignment="1">
      <alignment horizontal="center" vertical="center"/>
    </xf>
    <xf numFmtId="165" fontId="0" fillId="0" borderId="38" xfId="0" applyNumberFormat="1" applyBorder="1" applyAlignment="1">
      <alignment horizontal="center" vertical="center"/>
    </xf>
    <xf numFmtId="2" fontId="0" fillId="0" borderId="40" xfId="0" applyNumberFormat="1" applyBorder="1" applyAlignment="1">
      <alignment horizontal="center" vertical="center"/>
    </xf>
    <xf numFmtId="0" fontId="0" fillId="0" borderId="41" xfId="0" applyBorder="1"/>
    <xf numFmtId="2" fontId="0" fillId="0" borderId="42" xfId="0" applyNumberFormat="1" applyBorder="1" applyAlignment="1">
      <alignment horizontal="center" vertical="center"/>
    </xf>
    <xf numFmtId="0" fontId="0" fillId="0" borderId="43" xfId="0" applyBorder="1"/>
    <xf numFmtId="2" fontId="0" fillId="0" borderId="45" xfId="0" applyNumberFormat="1" applyBorder="1" applyAlignment="1">
      <alignment horizontal="center" vertical="center"/>
    </xf>
    <xf numFmtId="0" fontId="0" fillId="2" borderId="44" xfId="0" applyFill="1" applyBorder="1" applyAlignment="1">
      <alignment horizontal="center" vertical="center"/>
    </xf>
    <xf numFmtId="165" fontId="0" fillId="2" borderId="44" xfId="0" applyNumberFormat="1" applyFill="1" applyBorder="1" applyAlignment="1">
      <alignment horizontal="center" vertical="center"/>
    </xf>
    <xf numFmtId="0" fontId="0" fillId="0" borderId="2" xfId="0" applyFill="1" applyBorder="1" applyAlignment="1">
      <alignment horizontal="left" vertical="center" wrapText="1"/>
    </xf>
    <xf numFmtId="164" fontId="0" fillId="7" borderId="42" xfId="0" applyNumberFormat="1" applyFill="1" applyBorder="1" applyAlignment="1">
      <alignment horizontal="center" vertical="center"/>
    </xf>
    <xf numFmtId="2" fontId="0" fillId="0" borderId="0" xfId="0" applyNumberFormat="1" applyFill="1" applyBorder="1" applyAlignment="1">
      <alignment horizontal="center" vertical="center"/>
    </xf>
    <xf numFmtId="164" fontId="0" fillId="0" borderId="42" xfId="0" applyNumberFormat="1" applyFill="1" applyBorder="1" applyAlignment="1">
      <alignment horizontal="center" vertical="center"/>
    </xf>
    <xf numFmtId="0" fontId="0" fillId="7" borderId="44" xfId="0" applyFill="1" applyBorder="1" applyAlignment="1">
      <alignment horizontal="center" vertical="center"/>
    </xf>
    <xf numFmtId="1" fontId="0" fillId="7" borderId="44" xfId="0" applyNumberFormat="1" applyFill="1" applyBorder="1" applyAlignment="1">
      <alignment horizontal="center" vertical="center"/>
    </xf>
    <xf numFmtId="164" fontId="0" fillId="7" borderId="44" xfId="0" applyNumberFormat="1" applyFill="1" applyBorder="1" applyAlignment="1">
      <alignment horizontal="center" vertical="center"/>
    </xf>
    <xf numFmtId="2" fontId="0" fillId="7" borderId="44" xfId="0" applyNumberFormat="1" applyFill="1" applyBorder="1" applyAlignment="1">
      <alignment horizontal="center" vertical="center"/>
    </xf>
    <xf numFmtId="0" fontId="0" fillId="7" borderId="44" xfId="0" applyFill="1" applyBorder="1"/>
    <xf numFmtId="164" fontId="0" fillId="7" borderId="45" xfId="0" applyNumberFormat="1" applyFill="1" applyBorder="1" applyAlignment="1">
      <alignment horizontal="center" vertical="center"/>
    </xf>
    <xf numFmtId="0" fontId="0" fillId="11" borderId="0" xfId="0" applyFill="1" applyBorder="1" applyAlignment="1">
      <alignment horizontal="left" vertical="center" wrapText="1"/>
    </xf>
    <xf numFmtId="0" fontId="0" fillId="0" borderId="0" xfId="0" applyBorder="1" applyAlignment="1">
      <alignment horizontal="left" vertical="center" wrapText="1"/>
    </xf>
    <xf numFmtId="0" fontId="10" fillId="0" borderId="0" xfId="0" applyFont="1" applyAlignment="1">
      <alignment horizontal="left" vertical="center" wrapText="1"/>
    </xf>
    <xf numFmtId="0" fontId="0" fillId="11" borderId="5" xfId="0" applyFill="1" applyBorder="1" applyAlignment="1">
      <alignment horizontal="left" vertical="center" wrapText="1"/>
    </xf>
    <xf numFmtId="0" fontId="0" fillId="11" borderId="0" xfId="0" applyFill="1" applyBorder="1" applyAlignment="1">
      <alignment horizontal="left" wrapText="1"/>
    </xf>
    <xf numFmtId="0" fontId="0" fillId="0" borderId="0" xfId="0" applyBorder="1" applyAlignment="1">
      <alignment horizontal="left" wrapText="1"/>
    </xf>
    <xf numFmtId="0" fontId="2" fillId="10" borderId="16" xfId="0" applyFont="1" applyFill="1" applyBorder="1" applyAlignment="1">
      <alignment horizontal="center" vertical="center" wrapText="1"/>
    </xf>
    <xf numFmtId="0" fontId="2" fillId="10" borderId="17" xfId="0" applyFont="1" applyFill="1" applyBorder="1" applyAlignment="1">
      <alignment horizontal="center" vertical="center" wrapText="1"/>
    </xf>
    <xf numFmtId="0" fontId="2" fillId="0" borderId="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5" xfId="0" applyFont="1" applyFill="1" applyBorder="1" applyAlignment="1">
      <alignment horizontal="left" vertical="center" wrapText="1"/>
    </xf>
    <xf numFmtId="0" fontId="8" fillId="10" borderId="19" xfId="0" applyFont="1" applyFill="1" applyBorder="1" applyAlignment="1">
      <alignment horizontal="center" vertical="center" wrapText="1"/>
    </xf>
    <xf numFmtId="0" fontId="2" fillId="10" borderId="13" xfId="0" applyFont="1" applyFill="1" applyBorder="1" applyAlignment="1">
      <alignment horizontal="center" vertical="center" wrapText="1"/>
    </xf>
    <xf numFmtId="0" fontId="2" fillId="0" borderId="4" xfId="0" applyFont="1" applyFill="1" applyBorder="1" applyAlignment="1">
      <alignment horizontal="left" wrapText="1"/>
    </xf>
    <xf numFmtId="0" fontId="2" fillId="0" borderId="0" xfId="0" applyFont="1" applyFill="1" applyBorder="1" applyAlignment="1">
      <alignment horizontal="left" wrapText="1"/>
    </xf>
    <xf numFmtId="0" fontId="2" fillId="0" borderId="5" xfId="0" applyFont="1" applyFill="1" applyBorder="1" applyAlignment="1">
      <alignment horizontal="left" wrapText="1"/>
    </xf>
    <xf numFmtId="0" fontId="2" fillId="10" borderId="14" xfId="0" applyFont="1" applyFill="1" applyBorder="1" applyAlignment="1">
      <alignment horizontal="center" vertical="center" wrapText="1"/>
    </xf>
    <xf numFmtId="0" fontId="2" fillId="10" borderId="15" xfId="0" applyFont="1" applyFill="1" applyBorder="1" applyAlignment="1">
      <alignment horizontal="center" vertical="center" wrapText="1"/>
    </xf>
    <xf numFmtId="0" fontId="0" fillId="0" borderId="0" xfId="0" applyFill="1" applyAlignment="1">
      <alignment horizontal="center"/>
    </xf>
    <xf numFmtId="0" fontId="2" fillId="0" borderId="0" xfId="0" applyFont="1" applyFill="1" applyBorder="1" applyAlignment="1">
      <alignment horizontal="left" vertical="center"/>
    </xf>
    <xf numFmtId="166" fontId="0" fillId="2" borderId="0" xfId="0" applyNumberFormat="1" applyFill="1" applyAlignment="1">
      <alignment horizontal="center" vertical="center"/>
    </xf>
  </cellXfs>
  <cellStyles count="1">
    <cellStyle name="Normal" xfId="0" builtinId="0"/>
  </cellStyles>
  <dxfs count="3">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drawing3.xml.rels><?xml version="1.0" encoding="UTF-8" standalone="yes"?>
<Relationships xmlns="http://schemas.openxmlformats.org/package/2006/relationships"><Relationship Id="rId8" Type="http://schemas.openxmlformats.org/officeDocument/2006/relationships/image" Target="../media/image32.emf"/><Relationship Id="rId13" Type="http://schemas.openxmlformats.org/officeDocument/2006/relationships/image" Target="../media/image37.emf"/><Relationship Id="rId18" Type="http://schemas.openxmlformats.org/officeDocument/2006/relationships/image" Target="../media/image42.emf"/><Relationship Id="rId26" Type="http://schemas.openxmlformats.org/officeDocument/2006/relationships/image" Target="../media/image50.emf"/><Relationship Id="rId3" Type="http://schemas.openxmlformats.org/officeDocument/2006/relationships/image" Target="../media/image27.emf"/><Relationship Id="rId21" Type="http://schemas.openxmlformats.org/officeDocument/2006/relationships/image" Target="../media/image45.emf"/><Relationship Id="rId7" Type="http://schemas.openxmlformats.org/officeDocument/2006/relationships/image" Target="../media/image31.emf"/><Relationship Id="rId12" Type="http://schemas.openxmlformats.org/officeDocument/2006/relationships/image" Target="../media/image36.emf"/><Relationship Id="rId17" Type="http://schemas.openxmlformats.org/officeDocument/2006/relationships/image" Target="../media/image41.emf"/><Relationship Id="rId25" Type="http://schemas.openxmlformats.org/officeDocument/2006/relationships/image" Target="../media/image49.emf"/><Relationship Id="rId33" Type="http://schemas.openxmlformats.org/officeDocument/2006/relationships/image" Target="../media/image57.emf"/><Relationship Id="rId2" Type="http://schemas.openxmlformats.org/officeDocument/2006/relationships/image" Target="../media/image26.emf"/><Relationship Id="rId16" Type="http://schemas.openxmlformats.org/officeDocument/2006/relationships/image" Target="../media/image40.emf"/><Relationship Id="rId20" Type="http://schemas.openxmlformats.org/officeDocument/2006/relationships/image" Target="../media/image44.emf"/><Relationship Id="rId29" Type="http://schemas.openxmlformats.org/officeDocument/2006/relationships/image" Target="../media/image53.emf"/><Relationship Id="rId1" Type="http://schemas.openxmlformats.org/officeDocument/2006/relationships/image" Target="../media/image25.emf"/><Relationship Id="rId6" Type="http://schemas.openxmlformats.org/officeDocument/2006/relationships/image" Target="../media/image30.emf"/><Relationship Id="rId11" Type="http://schemas.openxmlformats.org/officeDocument/2006/relationships/image" Target="../media/image35.emf"/><Relationship Id="rId24" Type="http://schemas.openxmlformats.org/officeDocument/2006/relationships/image" Target="../media/image48.emf"/><Relationship Id="rId32" Type="http://schemas.openxmlformats.org/officeDocument/2006/relationships/image" Target="../media/image56.emf"/><Relationship Id="rId5" Type="http://schemas.openxmlformats.org/officeDocument/2006/relationships/image" Target="../media/image29.emf"/><Relationship Id="rId15" Type="http://schemas.openxmlformats.org/officeDocument/2006/relationships/image" Target="../media/image39.emf"/><Relationship Id="rId23" Type="http://schemas.openxmlformats.org/officeDocument/2006/relationships/image" Target="../media/image47.emf"/><Relationship Id="rId28" Type="http://schemas.openxmlformats.org/officeDocument/2006/relationships/image" Target="../media/image52.emf"/><Relationship Id="rId10" Type="http://schemas.openxmlformats.org/officeDocument/2006/relationships/image" Target="../media/image34.emf"/><Relationship Id="rId19" Type="http://schemas.openxmlformats.org/officeDocument/2006/relationships/image" Target="../media/image43.emf"/><Relationship Id="rId31" Type="http://schemas.openxmlformats.org/officeDocument/2006/relationships/image" Target="../media/image55.emf"/><Relationship Id="rId4" Type="http://schemas.openxmlformats.org/officeDocument/2006/relationships/image" Target="../media/image28.emf"/><Relationship Id="rId9" Type="http://schemas.openxmlformats.org/officeDocument/2006/relationships/image" Target="../media/image33.emf"/><Relationship Id="rId14" Type="http://schemas.openxmlformats.org/officeDocument/2006/relationships/image" Target="../media/image38.emf"/><Relationship Id="rId22" Type="http://schemas.openxmlformats.org/officeDocument/2006/relationships/image" Target="../media/image46.emf"/><Relationship Id="rId27" Type="http://schemas.openxmlformats.org/officeDocument/2006/relationships/image" Target="../media/image51.emf"/><Relationship Id="rId30" Type="http://schemas.openxmlformats.org/officeDocument/2006/relationships/image" Target="../media/image54.emf"/></Relationships>
</file>

<file path=xl/drawings/_rels/drawing4.xml.rels><?xml version="1.0" encoding="UTF-8" standalone="yes"?>
<Relationships xmlns="http://schemas.openxmlformats.org/package/2006/relationships"><Relationship Id="rId8" Type="http://schemas.openxmlformats.org/officeDocument/2006/relationships/image" Target="../media/image65.emf"/><Relationship Id="rId13" Type="http://schemas.openxmlformats.org/officeDocument/2006/relationships/image" Target="../media/image70.emf"/><Relationship Id="rId18" Type="http://schemas.openxmlformats.org/officeDocument/2006/relationships/image" Target="../media/image75.emf"/><Relationship Id="rId26" Type="http://schemas.openxmlformats.org/officeDocument/2006/relationships/image" Target="../media/image83.emf"/><Relationship Id="rId3" Type="http://schemas.openxmlformats.org/officeDocument/2006/relationships/image" Target="../media/image60.emf"/><Relationship Id="rId21" Type="http://schemas.openxmlformats.org/officeDocument/2006/relationships/image" Target="../media/image78.emf"/><Relationship Id="rId7" Type="http://schemas.openxmlformats.org/officeDocument/2006/relationships/image" Target="../media/image64.emf"/><Relationship Id="rId12" Type="http://schemas.openxmlformats.org/officeDocument/2006/relationships/image" Target="../media/image69.emf"/><Relationship Id="rId17" Type="http://schemas.openxmlformats.org/officeDocument/2006/relationships/image" Target="../media/image74.emf"/><Relationship Id="rId25" Type="http://schemas.openxmlformats.org/officeDocument/2006/relationships/image" Target="../media/image82.emf"/><Relationship Id="rId33" Type="http://schemas.openxmlformats.org/officeDocument/2006/relationships/image" Target="../media/image90.emf"/><Relationship Id="rId2" Type="http://schemas.openxmlformats.org/officeDocument/2006/relationships/image" Target="../media/image59.emf"/><Relationship Id="rId16" Type="http://schemas.openxmlformats.org/officeDocument/2006/relationships/image" Target="../media/image73.emf"/><Relationship Id="rId20" Type="http://schemas.openxmlformats.org/officeDocument/2006/relationships/image" Target="../media/image77.emf"/><Relationship Id="rId29" Type="http://schemas.openxmlformats.org/officeDocument/2006/relationships/image" Target="../media/image86.emf"/><Relationship Id="rId1" Type="http://schemas.openxmlformats.org/officeDocument/2006/relationships/image" Target="../media/image58.emf"/><Relationship Id="rId6" Type="http://schemas.openxmlformats.org/officeDocument/2006/relationships/image" Target="../media/image63.emf"/><Relationship Id="rId11" Type="http://schemas.openxmlformats.org/officeDocument/2006/relationships/image" Target="../media/image68.emf"/><Relationship Id="rId24" Type="http://schemas.openxmlformats.org/officeDocument/2006/relationships/image" Target="../media/image81.emf"/><Relationship Id="rId32" Type="http://schemas.openxmlformats.org/officeDocument/2006/relationships/image" Target="../media/image89.emf"/><Relationship Id="rId5" Type="http://schemas.openxmlformats.org/officeDocument/2006/relationships/image" Target="../media/image62.emf"/><Relationship Id="rId15" Type="http://schemas.openxmlformats.org/officeDocument/2006/relationships/image" Target="../media/image72.emf"/><Relationship Id="rId23" Type="http://schemas.openxmlformats.org/officeDocument/2006/relationships/image" Target="../media/image80.emf"/><Relationship Id="rId28" Type="http://schemas.openxmlformats.org/officeDocument/2006/relationships/image" Target="../media/image85.emf"/><Relationship Id="rId10" Type="http://schemas.openxmlformats.org/officeDocument/2006/relationships/image" Target="../media/image67.emf"/><Relationship Id="rId19" Type="http://schemas.openxmlformats.org/officeDocument/2006/relationships/image" Target="../media/image76.emf"/><Relationship Id="rId31" Type="http://schemas.openxmlformats.org/officeDocument/2006/relationships/image" Target="../media/image88.emf"/><Relationship Id="rId4" Type="http://schemas.openxmlformats.org/officeDocument/2006/relationships/image" Target="../media/image61.emf"/><Relationship Id="rId9" Type="http://schemas.openxmlformats.org/officeDocument/2006/relationships/image" Target="../media/image66.emf"/><Relationship Id="rId14" Type="http://schemas.openxmlformats.org/officeDocument/2006/relationships/image" Target="../media/image71.emf"/><Relationship Id="rId22" Type="http://schemas.openxmlformats.org/officeDocument/2006/relationships/image" Target="../media/image79.emf"/><Relationship Id="rId27" Type="http://schemas.openxmlformats.org/officeDocument/2006/relationships/image" Target="../media/image84.emf"/><Relationship Id="rId30" Type="http://schemas.openxmlformats.org/officeDocument/2006/relationships/image" Target="../media/image87.emf"/></Relationships>
</file>

<file path=xl/drawings/_rels/drawing5.xml.rels><?xml version="1.0" encoding="UTF-8" standalone="yes"?>
<Relationships xmlns="http://schemas.openxmlformats.org/package/2006/relationships"><Relationship Id="rId8" Type="http://schemas.openxmlformats.org/officeDocument/2006/relationships/image" Target="../media/image98.emf"/><Relationship Id="rId13" Type="http://schemas.openxmlformats.org/officeDocument/2006/relationships/image" Target="../media/image103.emf"/><Relationship Id="rId18" Type="http://schemas.openxmlformats.org/officeDocument/2006/relationships/image" Target="../media/image108.emf"/><Relationship Id="rId26" Type="http://schemas.openxmlformats.org/officeDocument/2006/relationships/image" Target="../media/image116.emf"/><Relationship Id="rId3" Type="http://schemas.openxmlformats.org/officeDocument/2006/relationships/image" Target="../media/image93.emf"/><Relationship Id="rId21" Type="http://schemas.openxmlformats.org/officeDocument/2006/relationships/image" Target="../media/image111.emf"/><Relationship Id="rId7" Type="http://schemas.openxmlformats.org/officeDocument/2006/relationships/image" Target="../media/image97.emf"/><Relationship Id="rId12" Type="http://schemas.openxmlformats.org/officeDocument/2006/relationships/image" Target="../media/image102.emf"/><Relationship Id="rId17" Type="http://schemas.openxmlformats.org/officeDocument/2006/relationships/image" Target="../media/image107.emf"/><Relationship Id="rId25" Type="http://schemas.openxmlformats.org/officeDocument/2006/relationships/image" Target="../media/image115.emf"/><Relationship Id="rId33" Type="http://schemas.openxmlformats.org/officeDocument/2006/relationships/image" Target="../media/image123.emf"/><Relationship Id="rId2" Type="http://schemas.openxmlformats.org/officeDocument/2006/relationships/image" Target="../media/image92.emf"/><Relationship Id="rId16" Type="http://schemas.openxmlformats.org/officeDocument/2006/relationships/image" Target="../media/image106.emf"/><Relationship Id="rId20" Type="http://schemas.openxmlformats.org/officeDocument/2006/relationships/image" Target="../media/image110.emf"/><Relationship Id="rId29" Type="http://schemas.openxmlformats.org/officeDocument/2006/relationships/image" Target="../media/image119.emf"/><Relationship Id="rId1" Type="http://schemas.openxmlformats.org/officeDocument/2006/relationships/image" Target="../media/image91.emf"/><Relationship Id="rId6" Type="http://schemas.openxmlformats.org/officeDocument/2006/relationships/image" Target="../media/image96.emf"/><Relationship Id="rId11" Type="http://schemas.openxmlformats.org/officeDocument/2006/relationships/image" Target="../media/image101.emf"/><Relationship Id="rId24" Type="http://schemas.openxmlformats.org/officeDocument/2006/relationships/image" Target="../media/image114.emf"/><Relationship Id="rId32" Type="http://schemas.openxmlformats.org/officeDocument/2006/relationships/image" Target="../media/image122.emf"/><Relationship Id="rId5" Type="http://schemas.openxmlformats.org/officeDocument/2006/relationships/image" Target="../media/image95.emf"/><Relationship Id="rId15" Type="http://schemas.openxmlformats.org/officeDocument/2006/relationships/image" Target="../media/image105.emf"/><Relationship Id="rId23" Type="http://schemas.openxmlformats.org/officeDocument/2006/relationships/image" Target="../media/image113.emf"/><Relationship Id="rId28" Type="http://schemas.openxmlformats.org/officeDocument/2006/relationships/image" Target="../media/image118.emf"/><Relationship Id="rId10" Type="http://schemas.openxmlformats.org/officeDocument/2006/relationships/image" Target="../media/image100.emf"/><Relationship Id="rId19" Type="http://schemas.openxmlformats.org/officeDocument/2006/relationships/image" Target="../media/image109.emf"/><Relationship Id="rId31" Type="http://schemas.openxmlformats.org/officeDocument/2006/relationships/image" Target="../media/image121.emf"/><Relationship Id="rId4" Type="http://schemas.openxmlformats.org/officeDocument/2006/relationships/image" Target="../media/image94.emf"/><Relationship Id="rId9" Type="http://schemas.openxmlformats.org/officeDocument/2006/relationships/image" Target="../media/image99.emf"/><Relationship Id="rId14" Type="http://schemas.openxmlformats.org/officeDocument/2006/relationships/image" Target="../media/image104.emf"/><Relationship Id="rId22" Type="http://schemas.openxmlformats.org/officeDocument/2006/relationships/image" Target="../media/image112.emf"/><Relationship Id="rId27" Type="http://schemas.openxmlformats.org/officeDocument/2006/relationships/image" Target="../media/image117.emf"/><Relationship Id="rId30" Type="http://schemas.openxmlformats.org/officeDocument/2006/relationships/image" Target="../media/image120.emf"/></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17</xdr:col>
      <xdr:colOff>723900</xdr:colOff>
      <xdr:row>16</xdr:row>
      <xdr:rowOff>165100</xdr:rowOff>
    </xdr:from>
    <xdr:to>
      <xdr:col>19</xdr:col>
      <xdr:colOff>25400</xdr:colOff>
      <xdr:row>16</xdr:row>
      <xdr:rowOff>177800</xdr:rowOff>
    </xdr:to>
    <xdr:cxnSp macro="">
      <xdr:nvCxnSpPr>
        <xdr:cNvPr id="24" name="Straight Arrow Connector 23">
          <a:extLst>
            <a:ext uri="{FF2B5EF4-FFF2-40B4-BE49-F238E27FC236}">
              <a16:creationId xmlns:a16="http://schemas.microsoft.com/office/drawing/2014/main" id="{C66E71B7-EE09-44F0-8F15-D81718104027}"/>
            </a:ext>
          </a:extLst>
        </xdr:cNvPr>
        <xdr:cNvCxnSpPr/>
      </xdr:nvCxnSpPr>
      <xdr:spPr>
        <a:xfrm>
          <a:off x="13474700" y="5981700"/>
          <a:ext cx="4318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401320</xdr:colOff>
      <xdr:row>192</xdr:row>
      <xdr:rowOff>71120</xdr:rowOff>
    </xdr:from>
    <xdr:to>
      <xdr:col>36</xdr:col>
      <xdr:colOff>546560</xdr:colOff>
      <xdr:row>201</xdr:row>
      <xdr:rowOff>63899</xdr:rowOff>
    </xdr:to>
    <xdr:pic>
      <xdr:nvPicPr>
        <xdr:cNvPr id="26" name="Picture 25">
          <a:extLst>
            <a:ext uri="{FF2B5EF4-FFF2-40B4-BE49-F238E27FC236}">
              <a16:creationId xmlns:a16="http://schemas.microsoft.com/office/drawing/2014/main" id="{B8D8105E-6B01-4E7D-9B48-0265376FE0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23370" y="47505620"/>
          <a:ext cx="5288740" cy="4660029"/>
        </a:xfrm>
        <a:prstGeom prst="rect">
          <a:avLst/>
        </a:prstGeom>
      </xdr:spPr>
    </xdr:pic>
    <xdr:clientData/>
  </xdr:twoCellAnchor>
  <xdr:twoCellAnchor editAs="oneCell">
    <xdr:from>
      <xdr:col>26</xdr:col>
      <xdr:colOff>190681</xdr:colOff>
      <xdr:row>213</xdr:row>
      <xdr:rowOff>35742</xdr:rowOff>
    </xdr:from>
    <xdr:to>
      <xdr:col>38</xdr:col>
      <xdr:colOff>188478</xdr:colOff>
      <xdr:row>257</xdr:row>
      <xdr:rowOff>152400</xdr:rowOff>
    </xdr:to>
    <xdr:pic>
      <xdr:nvPicPr>
        <xdr:cNvPr id="28" name="Picture 27">
          <a:extLst>
            <a:ext uri="{FF2B5EF4-FFF2-40B4-BE49-F238E27FC236}">
              <a16:creationId xmlns:a16="http://schemas.microsoft.com/office/drawing/2014/main" id="{506215DD-11C4-4BB7-ABD5-AFE567CFCF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545981" y="55109292"/>
          <a:ext cx="7332047" cy="10251258"/>
        </a:xfrm>
        <a:prstGeom prst="rect">
          <a:avLst/>
        </a:prstGeom>
      </xdr:spPr>
    </xdr:pic>
    <xdr:clientData/>
  </xdr:twoCellAnchor>
  <xdr:twoCellAnchor>
    <xdr:from>
      <xdr:col>21</xdr:col>
      <xdr:colOff>384627</xdr:colOff>
      <xdr:row>262</xdr:row>
      <xdr:rowOff>152400</xdr:rowOff>
    </xdr:from>
    <xdr:to>
      <xdr:col>36</xdr:col>
      <xdr:colOff>423223</xdr:colOff>
      <xdr:row>296</xdr:row>
      <xdr:rowOff>68770</xdr:rowOff>
    </xdr:to>
    <xdr:grpSp>
      <xdr:nvGrpSpPr>
        <xdr:cNvPr id="41" name="Group 40">
          <a:extLst>
            <a:ext uri="{FF2B5EF4-FFF2-40B4-BE49-F238E27FC236}">
              <a16:creationId xmlns:a16="http://schemas.microsoft.com/office/drawing/2014/main" id="{B2CFB532-5CE2-42AA-8997-5775532B28A6}"/>
            </a:ext>
          </a:extLst>
        </xdr:cNvPr>
        <xdr:cNvGrpSpPr/>
      </xdr:nvGrpSpPr>
      <xdr:grpSpPr>
        <a:xfrm>
          <a:off x="19269527" y="66471800"/>
          <a:ext cx="10604996" cy="6888670"/>
          <a:chOff x="22304827" y="65629971"/>
          <a:chExt cx="10610439" cy="7104570"/>
        </a:xfrm>
      </xdr:grpSpPr>
      <xdr:grpSp>
        <xdr:nvGrpSpPr>
          <xdr:cNvPr id="39" name="Group 38">
            <a:extLst>
              <a:ext uri="{FF2B5EF4-FFF2-40B4-BE49-F238E27FC236}">
                <a16:creationId xmlns:a16="http://schemas.microsoft.com/office/drawing/2014/main" id="{F69F06B6-3920-4D7B-90D5-CB30337B7F1C}"/>
              </a:ext>
            </a:extLst>
          </xdr:cNvPr>
          <xdr:cNvGrpSpPr/>
        </xdr:nvGrpSpPr>
        <xdr:grpSpPr>
          <a:xfrm>
            <a:off x="22304827" y="66348428"/>
            <a:ext cx="10610439" cy="6386113"/>
            <a:chOff x="22304827" y="66348428"/>
            <a:chExt cx="10610439" cy="6386113"/>
          </a:xfrm>
        </xdr:grpSpPr>
        <xdr:grpSp>
          <xdr:nvGrpSpPr>
            <xdr:cNvPr id="35" name="Group 34">
              <a:extLst>
                <a:ext uri="{FF2B5EF4-FFF2-40B4-BE49-F238E27FC236}">
                  <a16:creationId xmlns:a16="http://schemas.microsoft.com/office/drawing/2014/main" id="{2DE12A77-F13E-4550-955E-EC75AB04D2FC}"/>
                </a:ext>
              </a:extLst>
            </xdr:cNvPr>
            <xdr:cNvGrpSpPr/>
          </xdr:nvGrpSpPr>
          <xdr:grpSpPr>
            <a:xfrm>
              <a:off x="28234820" y="66393785"/>
              <a:ext cx="4680446" cy="5689739"/>
              <a:chOff x="16167100" y="64744600"/>
              <a:chExt cx="4679085" cy="5524639"/>
            </a:xfrm>
          </xdr:grpSpPr>
          <xdr:pic>
            <xdr:nvPicPr>
              <xdr:cNvPr id="30" name="Picture 29">
                <a:extLst>
                  <a:ext uri="{FF2B5EF4-FFF2-40B4-BE49-F238E27FC236}">
                    <a16:creationId xmlns:a16="http://schemas.microsoft.com/office/drawing/2014/main" id="{BD47AD49-7B2A-4E83-8425-1B9C9A469C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167100" y="64744600"/>
                <a:ext cx="4679085" cy="2331922"/>
              </a:xfrm>
              <a:prstGeom prst="rect">
                <a:avLst/>
              </a:prstGeom>
            </xdr:spPr>
          </xdr:pic>
          <xdr:pic>
            <xdr:nvPicPr>
              <xdr:cNvPr id="32" name="Picture 31">
                <a:extLst>
                  <a:ext uri="{FF2B5EF4-FFF2-40B4-BE49-F238E27FC236}">
                    <a16:creationId xmlns:a16="http://schemas.microsoft.com/office/drawing/2014/main" id="{7FC45C3C-D1C7-474D-B381-1819B03239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192500" y="67081400"/>
                <a:ext cx="4640982" cy="1615580"/>
              </a:xfrm>
              <a:prstGeom prst="rect">
                <a:avLst/>
              </a:prstGeom>
            </xdr:spPr>
          </xdr:pic>
          <xdr:pic>
            <xdr:nvPicPr>
              <xdr:cNvPr id="34" name="Picture 33">
                <a:extLst>
                  <a:ext uri="{FF2B5EF4-FFF2-40B4-BE49-F238E27FC236}">
                    <a16:creationId xmlns:a16="http://schemas.microsoft.com/office/drawing/2014/main" id="{CD5ACFBD-530B-40CE-87EF-26457AD8E3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230600" y="68668900"/>
                <a:ext cx="4602879" cy="1600339"/>
              </a:xfrm>
              <a:prstGeom prst="rect">
                <a:avLst/>
              </a:prstGeom>
            </xdr:spPr>
          </xdr:pic>
        </xdr:grpSp>
        <xdr:pic>
          <xdr:nvPicPr>
            <xdr:cNvPr id="37" name="Picture 36">
              <a:extLst>
                <a:ext uri="{FF2B5EF4-FFF2-40B4-BE49-F238E27FC236}">
                  <a16:creationId xmlns:a16="http://schemas.microsoft.com/office/drawing/2014/main" id="{3F9EC959-8EA1-44A0-9A7E-92124FA559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304827" y="66348428"/>
              <a:ext cx="4717189" cy="6386113"/>
            </a:xfrm>
            <a:prstGeom prst="rect">
              <a:avLst/>
            </a:prstGeom>
          </xdr:spPr>
        </xdr:pic>
        <xdr:sp macro="" textlink="">
          <xdr:nvSpPr>
            <xdr:cNvPr id="38" name="Arrow: Left 37">
              <a:extLst>
                <a:ext uri="{FF2B5EF4-FFF2-40B4-BE49-F238E27FC236}">
                  <a16:creationId xmlns:a16="http://schemas.microsoft.com/office/drawing/2014/main" id="{C9AE7ADC-F5D9-450B-A403-9F830CFA3AA2}"/>
                </a:ext>
              </a:extLst>
            </xdr:cNvPr>
            <xdr:cNvSpPr/>
          </xdr:nvSpPr>
          <xdr:spPr>
            <a:xfrm rot="10800000">
              <a:off x="27301371" y="67404343"/>
              <a:ext cx="794657" cy="32657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0" name="TextBox 39">
            <a:extLst>
              <a:ext uri="{FF2B5EF4-FFF2-40B4-BE49-F238E27FC236}">
                <a16:creationId xmlns:a16="http://schemas.microsoft.com/office/drawing/2014/main" id="{F928A005-435C-4F8A-BF2F-67F170FFBBCC}"/>
              </a:ext>
            </a:extLst>
          </xdr:cNvPr>
          <xdr:cNvSpPr txBox="1"/>
        </xdr:nvSpPr>
        <xdr:spPr>
          <a:xfrm>
            <a:off x="25897113" y="65629971"/>
            <a:ext cx="5203371" cy="696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Efficiency</a:t>
            </a:r>
            <a:r>
              <a:rPr lang="en-US" sz="1100" baseline="0"/>
              <a:t> ratio 2: calculate all Inc_COL, Inc_LYG, efficiency ratios using  strategies in Table 6, subset outcomes for 50-75, without re-calculating, to Table 10.</a:t>
            </a:r>
            <a:endParaRPr lang="en-US" sz="1100"/>
          </a:p>
        </xdr:txBody>
      </xdr:sp>
    </xdr:grpSp>
    <xdr:clientData/>
  </xdr:twoCellAnchor>
  <xdr:twoCellAnchor>
    <xdr:from>
      <xdr:col>17</xdr:col>
      <xdr:colOff>281940</xdr:colOff>
      <xdr:row>40</xdr:row>
      <xdr:rowOff>45720</xdr:rowOff>
    </xdr:from>
    <xdr:to>
      <xdr:col>46</xdr:col>
      <xdr:colOff>431522</xdr:colOff>
      <xdr:row>48</xdr:row>
      <xdr:rowOff>60960</xdr:rowOff>
    </xdr:to>
    <xdr:grpSp>
      <xdr:nvGrpSpPr>
        <xdr:cNvPr id="36" name="Group 35">
          <a:extLst>
            <a:ext uri="{FF2B5EF4-FFF2-40B4-BE49-F238E27FC236}">
              <a16:creationId xmlns:a16="http://schemas.microsoft.com/office/drawing/2014/main" id="{2E1E5903-A212-487A-A420-E9B8D25313A1}"/>
            </a:ext>
          </a:extLst>
        </xdr:cNvPr>
        <xdr:cNvGrpSpPr/>
      </xdr:nvGrpSpPr>
      <xdr:grpSpPr>
        <a:xfrm>
          <a:off x="14277340" y="11285220"/>
          <a:ext cx="22260282" cy="2517140"/>
          <a:chOff x="14279880" y="11422380"/>
          <a:chExt cx="22270442" cy="2552700"/>
        </a:xfrm>
      </xdr:grpSpPr>
      <xdr:grpSp>
        <xdr:nvGrpSpPr>
          <xdr:cNvPr id="8" name="Group 7">
            <a:extLst>
              <a:ext uri="{FF2B5EF4-FFF2-40B4-BE49-F238E27FC236}">
                <a16:creationId xmlns:a16="http://schemas.microsoft.com/office/drawing/2014/main" id="{C47E020D-CCF7-4DA9-84E8-C876774E6CF9}"/>
              </a:ext>
            </a:extLst>
          </xdr:cNvPr>
          <xdr:cNvGrpSpPr/>
        </xdr:nvGrpSpPr>
        <xdr:grpSpPr>
          <a:xfrm>
            <a:off x="18273849" y="11507288"/>
            <a:ext cx="18276473" cy="2229225"/>
            <a:chOff x="11669486" y="8839199"/>
            <a:chExt cx="15519122" cy="2240474"/>
          </a:xfrm>
        </xdr:grpSpPr>
        <xdr:pic>
          <xdr:nvPicPr>
            <xdr:cNvPr id="3" name="Picture 2">
              <a:extLst>
                <a:ext uri="{FF2B5EF4-FFF2-40B4-BE49-F238E27FC236}">
                  <a16:creationId xmlns:a16="http://schemas.microsoft.com/office/drawing/2014/main" id="{0B0EDC85-3E44-4AD1-BFC1-95A8E764F8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69486" y="8839199"/>
              <a:ext cx="5151566" cy="2240474"/>
            </a:xfrm>
            <a:prstGeom prst="rect">
              <a:avLst/>
            </a:prstGeom>
          </xdr:spPr>
        </xdr:pic>
        <xdr:pic>
          <xdr:nvPicPr>
            <xdr:cNvPr id="5" name="Picture 4">
              <a:extLst>
                <a:ext uri="{FF2B5EF4-FFF2-40B4-BE49-F238E27FC236}">
                  <a16:creationId xmlns:a16="http://schemas.microsoft.com/office/drawing/2014/main" id="{23CEB325-2206-407A-968D-FDF563CE46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905515" y="8850085"/>
              <a:ext cx="5151566" cy="2194750"/>
            </a:xfrm>
            <a:prstGeom prst="rect">
              <a:avLst/>
            </a:prstGeom>
          </xdr:spPr>
        </xdr:pic>
        <xdr:pic>
          <xdr:nvPicPr>
            <xdr:cNvPr id="7" name="Picture 6">
              <a:extLst>
                <a:ext uri="{FF2B5EF4-FFF2-40B4-BE49-F238E27FC236}">
                  <a16:creationId xmlns:a16="http://schemas.microsoft.com/office/drawing/2014/main" id="{5F3E10ED-3C18-42B5-AED2-7796DD7E445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021800" y="8860971"/>
              <a:ext cx="5166808" cy="2194750"/>
            </a:xfrm>
            <a:prstGeom prst="rect">
              <a:avLst/>
            </a:prstGeom>
          </xdr:spPr>
        </xdr:pic>
      </xdr:grpSp>
      <xdr:pic>
        <xdr:nvPicPr>
          <xdr:cNvPr id="4" name="Picture 3">
            <a:extLst>
              <a:ext uri="{FF2B5EF4-FFF2-40B4-BE49-F238E27FC236}">
                <a16:creationId xmlns:a16="http://schemas.microsoft.com/office/drawing/2014/main" id="{87AFF5E0-91D0-44F1-9A7D-A1F57CF79A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279880" y="11422380"/>
            <a:ext cx="3832860" cy="2552700"/>
          </a:xfrm>
          <a:prstGeom prst="rect">
            <a:avLst/>
          </a:prstGeom>
        </xdr:spPr>
      </xdr:pic>
    </xdr:grpSp>
    <xdr:clientData/>
  </xdr:twoCellAnchor>
  <xdr:twoCellAnchor>
    <xdr:from>
      <xdr:col>17</xdr:col>
      <xdr:colOff>350520</xdr:colOff>
      <xdr:row>47</xdr:row>
      <xdr:rowOff>160020</xdr:rowOff>
    </xdr:from>
    <xdr:to>
      <xdr:col>46</xdr:col>
      <xdr:colOff>132891</xdr:colOff>
      <xdr:row>61</xdr:row>
      <xdr:rowOff>160020</xdr:rowOff>
    </xdr:to>
    <xdr:grpSp>
      <xdr:nvGrpSpPr>
        <xdr:cNvPr id="42" name="Group 41">
          <a:extLst>
            <a:ext uri="{FF2B5EF4-FFF2-40B4-BE49-F238E27FC236}">
              <a16:creationId xmlns:a16="http://schemas.microsoft.com/office/drawing/2014/main" id="{6230D016-3732-48B0-9E40-6966A2626DD8}"/>
            </a:ext>
          </a:extLst>
        </xdr:cNvPr>
        <xdr:cNvGrpSpPr/>
      </xdr:nvGrpSpPr>
      <xdr:grpSpPr>
        <a:xfrm>
          <a:off x="14345920" y="13723620"/>
          <a:ext cx="21893071" cy="2489200"/>
          <a:chOff x="14264640" y="13601700"/>
          <a:chExt cx="21903231" cy="2560320"/>
        </a:xfrm>
      </xdr:grpSpPr>
      <xdr:grpSp>
        <xdr:nvGrpSpPr>
          <xdr:cNvPr id="22" name="Group 21">
            <a:extLst>
              <a:ext uri="{FF2B5EF4-FFF2-40B4-BE49-F238E27FC236}">
                <a16:creationId xmlns:a16="http://schemas.microsoft.com/office/drawing/2014/main" id="{C64B9151-1C9E-4483-AE07-0A135D1623AF}"/>
              </a:ext>
            </a:extLst>
          </xdr:cNvPr>
          <xdr:cNvGrpSpPr/>
        </xdr:nvGrpSpPr>
        <xdr:grpSpPr>
          <a:xfrm>
            <a:off x="18253891" y="13688059"/>
            <a:ext cx="17913980" cy="2208903"/>
            <a:chOff x="13182599" y="11016342"/>
            <a:chExt cx="15319915" cy="2235029"/>
          </a:xfrm>
        </xdr:grpSpPr>
        <xdr:pic>
          <xdr:nvPicPr>
            <xdr:cNvPr id="10" name="Picture 9">
              <a:extLst>
                <a:ext uri="{FF2B5EF4-FFF2-40B4-BE49-F238E27FC236}">
                  <a16:creationId xmlns:a16="http://schemas.microsoft.com/office/drawing/2014/main" id="{B833FFF4-05B4-426A-AAAD-848943ABDEA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182599" y="11016342"/>
              <a:ext cx="5136325" cy="2194750"/>
            </a:xfrm>
            <a:prstGeom prst="rect">
              <a:avLst/>
            </a:prstGeom>
          </xdr:spPr>
        </xdr:pic>
        <xdr:pic>
          <xdr:nvPicPr>
            <xdr:cNvPr id="12" name="Picture 11">
              <a:extLst>
                <a:ext uri="{FF2B5EF4-FFF2-40B4-BE49-F238E27FC236}">
                  <a16:creationId xmlns:a16="http://schemas.microsoft.com/office/drawing/2014/main" id="{0A873AB8-2484-4E8E-9BCA-EED145325FF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288000" y="11027229"/>
              <a:ext cx="5121084" cy="2187130"/>
            </a:xfrm>
            <a:prstGeom prst="rect">
              <a:avLst/>
            </a:prstGeom>
          </xdr:spPr>
        </xdr:pic>
        <xdr:pic>
          <xdr:nvPicPr>
            <xdr:cNvPr id="14" name="Picture 13">
              <a:extLst>
                <a:ext uri="{FF2B5EF4-FFF2-40B4-BE49-F238E27FC236}">
                  <a16:creationId xmlns:a16="http://schemas.microsoft.com/office/drawing/2014/main" id="{5073208C-7CFE-44AB-A8EA-D67500D64CA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328086" y="11049000"/>
              <a:ext cx="5174428" cy="2202371"/>
            </a:xfrm>
            <a:prstGeom prst="rect">
              <a:avLst/>
            </a:prstGeom>
          </xdr:spPr>
        </xdr:pic>
      </xdr:grpSp>
      <xdr:pic>
        <xdr:nvPicPr>
          <xdr:cNvPr id="9" name="Picture 8">
            <a:extLst>
              <a:ext uri="{FF2B5EF4-FFF2-40B4-BE49-F238E27FC236}">
                <a16:creationId xmlns:a16="http://schemas.microsoft.com/office/drawing/2014/main" id="{9EE1F343-9E6D-4B43-AAF8-370779619310}"/>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264640" y="13601700"/>
            <a:ext cx="3832860" cy="2560320"/>
          </a:xfrm>
          <a:prstGeom prst="rect">
            <a:avLst/>
          </a:prstGeom>
        </xdr:spPr>
      </xdr:pic>
    </xdr:grpSp>
    <xdr:clientData/>
  </xdr:twoCellAnchor>
  <xdr:twoCellAnchor>
    <xdr:from>
      <xdr:col>17</xdr:col>
      <xdr:colOff>259080</xdr:colOff>
      <xdr:row>61</xdr:row>
      <xdr:rowOff>0</xdr:rowOff>
    </xdr:from>
    <xdr:to>
      <xdr:col>45</xdr:col>
      <xdr:colOff>429704</xdr:colOff>
      <xdr:row>75</xdr:row>
      <xdr:rowOff>0</xdr:rowOff>
    </xdr:to>
    <xdr:grpSp>
      <xdr:nvGrpSpPr>
        <xdr:cNvPr id="43" name="Group 42">
          <a:extLst>
            <a:ext uri="{FF2B5EF4-FFF2-40B4-BE49-F238E27FC236}">
              <a16:creationId xmlns:a16="http://schemas.microsoft.com/office/drawing/2014/main" id="{1718DF37-52E3-4F95-B714-549BA26B8F6E}"/>
            </a:ext>
          </a:extLst>
        </xdr:cNvPr>
        <xdr:cNvGrpSpPr/>
      </xdr:nvGrpSpPr>
      <xdr:grpSpPr>
        <a:xfrm>
          <a:off x="14254480" y="16052800"/>
          <a:ext cx="21671724" cy="2489200"/>
          <a:chOff x="14287500" y="15712440"/>
          <a:chExt cx="21681884" cy="2560320"/>
        </a:xfrm>
      </xdr:grpSpPr>
      <xdr:grpSp>
        <xdr:nvGrpSpPr>
          <xdr:cNvPr id="21" name="Group 20">
            <a:extLst>
              <a:ext uri="{FF2B5EF4-FFF2-40B4-BE49-F238E27FC236}">
                <a16:creationId xmlns:a16="http://schemas.microsoft.com/office/drawing/2014/main" id="{B17B4484-44AC-4C05-9647-751BD3BA41D2}"/>
              </a:ext>
            </a:extLst>
          </xdr:cNvPr>
          <xdr:cNvGrpSpPr/>
        </xdr:nvGrpSpPr>
        <xdr:grpSpPr>
          <a:xfrm>
            <a:off x="18250262" y="15777390"/>
            <a:ext cx="17719122" cy="2179511"/>
            <a:chOff x="13247914" y="13324114"/>
            <a:chExt cx="15125057" cy="2205636"/>
          </a:xfrm>
        </xdr:grpSpPr>
        <xdr:pic>
          <xdr:nvPicPr>
            <xdr:cNvPr id="16" name="Picture 15">
              <a:extLst>
                <a:ext uri="{FF2B5EF4-FFF2-40B4-BE49-F238E27FC236}">
                  <a16:creationId xmlns:a16="http://schemas.microsoft.com/office/drawing/2014/main" id="{086AEA75-48AE-44DE-9C28-DD529E52206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247914" y="13335000"/>
              <a:ext cx="5136325" cy="2194750"/>
            </a:xfrm>
            <a:prstGeom prst="rect">
              <a:avLst/>
            </a:prstGeom>
          </xdr:spPr>
        </xdr:pic>
        <xdr:pic>
          <xdr:nvPicPr>
            <xdr:cNvPr id="18" name="Picture 17">
              <a:extLst>
                <a:ext uri="{FF2B5EF4-FFF2-40B4-BE49-F238E27FC236}">
                  <a16:creationId xmlns:a16="http://schemas.microsoft.com/office/drawing/2014/main" id="{47FCAE19-3C8E-4FE0-ADAA-B77456E45C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157372" y="13335000"/>
              <a:ext cx="5121084" cy="2164268"/>
            </a:xfrm>
            <a:prstGeom prst="rect">
              <a:avLst/>
            </a:prstGeom>
          </xdr:spPr>
        </xdr:pic>
        <xdr:pic>
          <xdr:nvPicPr>
            <xdr:cNvPr id="20" name="Picture 19">
              <a:extLst>
                <a:ext uri="{FF2B5EF4-FFF2-40B4-BE49-F238E27FC236}">
                  <a16:creationId xmlns:a16="http://schemas.microsoft.com/office/drawing/2014/main" id="{777568F1-6B85-4917-AE6C-C6C25651B46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251887" y="13324114"/>
              <a:ext cx="5121084" cy="2179509"/>
            </a:xfrm>
            <a:prstGeom prst="rect">
              <a:avLst/>
            </a:prstGeom>
          </xdr:spPr>
        </xdr:pic>
      </xdr:grpSp>
      <xdr:pic>
        <xdr:nvPicPr>
          <xdr:cNvPr id="13" name="Picture 12">
            <a:extLst>
              <a:ext uri="{FF2B5EF4-FFF2-40B4-BE49-F238E27FC236}">
                <a16:creationId xmlns:a16="http://schemas.microsoft.com/office/drawing/2014/main" id="{A70E0310-962E-44A4-B6B8-C6DB7397D79B}"/>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287500" y="15712440"/>
            <a:ext cx="3924300" cy="2560320"/>
          </a:xfrm>
          <a:prstGeom prst="rect">
            <a:avLst/>
          </a:prstGeom>
        </xdr:spPr>
      </xdr:pic>
    </xdr:grpSp>
    <xdr:clientData/>
  </xdr:twoCellAnchor>
  <xdr:twoCellAnchor>
    <xdr:from>
      <xdr:col>17</xdr:col>
      <xdr:colOff>373380</xdr:colOff>
      <xdr:row>75</xdr:row>
      <xdr:rowOff>129540</xdr:rowOff>
    </xdr:from>
    <xdr:to>
      <xdr:col>44</xdr:col>
      <xdr:colOff>244284</xdr:colOff>
      <xdr:row>89</xdr:row>
      <xdr:rowOff>129540</xdr:rowOff>
    </xdr:to>
    <xdr:grpSp>
      <xdr:nvGrpSpPr>
        <xdr:cNvPr id="44" name="Group 43">
          <a:extLst>
            <a:ext uri="{FF2B5EF4-FFF2-40B4-BE49-F238E27FC236}">
              <a16:creationId xmlns:a16="http://schemas.microsoft.com/office/drawing/2014/main" id="{237C0B57-F34A-45C2-B102-2FE3B864ED6D}"/>
            </a:ext>
          </a:extLst>
        </xdr:cNvPr>
        <xdr:cNvGrpSpPr/>
      </xdr:nvGrpSpPr>
      <xdr:grpSpPr>
        <a:xfrm>
          <a:off x="14368780" y="18671540"/>
          <a:ext cx="20762404" cy="2489200"/>
          <a:chOff x="14378940" y="18166080"/>
          <a:chExt cx="20772564" cy="2560320"/>
        </a:xfrm>
      </xdr:grpSpPr>
      <xdr:pic>
        <xdr:nvPicPr>
          <xdr:cNvPr id="17" name="Picture 16">
            <a:extLst>
              <a:ext uri="{FF2B5EF4-FFF2-40B4-BE49-F238E27FC236}">
                <a16:creationId xmlns:a16="http://schemas.microsoft.com/office/drawing/2014/main" id="{0C9C6C37-A994-4B0B-8EA3-C389F6F9401A}"/>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378940" y="18166080"/>
            <a:ext cx="3924300" cy="2560320"/>
          </a:xfrm>
          <a:prstGeom prst="rect">
            <a:avLst/>
          </a:prstGeom>
        </xdr:spPr>
      </xdr:pic>
      <xdr:grpSp>
        <xdr:nvGrpSpPr>
          <xdr:cNvPr id="33" name="Group 32">
            <a:extLst>
              <a:ext uri="{FF2B5EF4-FFF2-40B4-BE49-F238E27FC236}">
                <a16:creationId xmlns:a16="http://schemas.microsoft.com/office/drawing/2014/main" id="{B027F529-AC67-4ECF-855E-A90928AA1D98}"/>
              </a:ext>
            </a:extLst>
          </xdr:cNvPr>
          <xdr:cNvGrpSpPr/>
        </xdr:nvGrpSpPr>
        <xdr:grpSpPr>
          <a:xfrm>
            <a:off x="18387060" y="18265140"/>
            <a:ext cx="16764444" cy="2293810"/>
            <a:chOff x="18394680" y="17922240"/>
            <a:chExt cx="16833024" cy="2293810"/>
          </a:xfrm>
        </xdr:grpSpPr>
        <xdr:pic>
          <xdr:nvPicPr>
            <xdr:cNvPr id="23" name="Picture 22">
              <a:extLst>
                <a:ext uri="{FF2B5EF4-FFF2-40B4-BE49-F238E27FC236}">
                  <a16:creationId xmlns:a16="http://schemas.microsoft.com/office/drawing/2014/main" id="{A9A65ADC-150B-40E9-BB2B-4C0CF84257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394680" y="17922240"/>
              <a:ext cx="5143946" cy="2179509"/>
            </a:xfrm>
            <a:prstGeom prst="rect">
              <a:avLst/>
            </a:prstGeom>
          </xdr:spPr>
        </xdr:pic>
        <xdr:pic>
          <xdr:nvPicPr>
            <xdr:cNvPr id="27" name="Picture 26">
              <a:extLst>
                <a:ext uri="{FF2B5EF4-FFF2-40B4-BE49-F238E27FC236}">
                  <a16:creationId xmlns:a16="http://schemas.microsoft.com/office/drawing/2014/main" id="{ECA1FE74-E5FD-43C7-A628-B98CA0A9F8F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399240" y="17967960"/>
              <a:ext cx="5143946" cy="2194750"/>
            </a:xfrm>
            <a:prstGeom prst="rect">
              <a:avLst/>
            </a:prstGeom>
          </xdr:spPr>
        </xdr:pic>
        <xdr:pic>
          <xdr:nvPicPr>
            <xdr:cNvPr id="31" name="Picture 30">
              <a:extLst>
                <a:ext uri="{FF2B5EF4-FFF2-40B4-BE49-F238E27FC236}">
                  <a16:creationId xmlns:a16="http://schemas.microsoft.com/office/drawing/2014/main" id="{D80D6856-F025-435C-AA46-3A91BA91EE9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0099000" y="18028920"/>
              <a:ext cx="5128704" cy="2187130"/>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149677</xdr:colOff>
      <xdr:row>21</xdr:row>
      <xdr:rowOff>163285</xdr:rowOff>
    </xdr:from>
    <xdr:to>
      <xdr:col>31</xdr:col>
      <xdr:colOff>171249</xdr:colOff>
      <xdr:row>39</xdr:row>
      <xdr:rowOff>108857</xdr:rowOff>
    </xdr:to>
    <xdr:grpSp>
      <xdr:nvGrpSpPr>
        <xdr:cNvPr id="13" name="Group 12">
          <a:extLst>
            <a:ext uri="{FF2B5EF4-FFF2-40B4-BE49-F238E27FC236}">
              <a16:creationId xmlns:a16="http://schemas.microsoft.com/office/drawing/2014/main" id="{612B9554-621C-454F-AF4C-731897944F68}"/>
            </a:ext>
          </a:extLst>
        </xdr:cNvPr>
        <xdr:cNvGrpSpPr/>
      </xdr:nvGrpSpPr>
      <xdr:grpSpPr>
        <a:xfrm>
          <a:off x="24787677" y="4417785"/>
          <a:ext cx="6727172" cy="3641272"/>
          <a:chOff x="11666763" y="4561114"/>
          <a:chExt cx="6727172" cy="3472543"/>
        </a:xfrm>
      </xdr:grpSpPr>
      <xdr:grpSp>
        <xdr:nvGrpSpPr>
          <xdr:cNvPr id="10" name="Group 9">
            <a:extLst>
              <a:ext uri="{FF2B5EF4-FFF2-40B4-BE49-F238E27FC236}">
                <a16:creationId xmlns:a16="http://schemas.microsoft.com/office/drawing/2014/main" id="{14B165CD-424C-4C8A-9C02-440547EB3D30}"/>
              </a:ext>
            </a:extLst>
          </xdr:cNvPr>
          <xdr:cNvGrpSpPr/>
        </xdr:nvGrpSpPr>
        <xdr:grpSpPr>
          <a:xfrm>
            <a:off x="11666763" y="4561114"/>
            <a:ext cx="6727172" cy="3472543"/>
            <a:chOff x="12504964" y="4376057"/>
            <a:chExt cx="6727172" cy="3472543"/>
          </a:xfrm>
        </xdr:grpSpPr>
        <xdr:grpSp>
          <xdr:nvGrpSpPr>
            <xdr:cNvPr id="6" name="Group 5">
              <a:extLst>
                <a:ext uri="{FF2B5EF4-FFF2-40B4-BE49-F238E27FC236}">
                  <a16:creationId xmlns:a16="http://schemas.microsoft.com/office/drawing/2014/main" id="{DB846185-34AD-4287-9032-A3E13CB02E08}"/>
                </a:ext>
              </a:extLst>
            </xdr:cNvPr>
            <xdr:cNvGrpSpPr/>
          </xdr:nvGrpSpPr>
          <xdr:grpSpPr>
            <a:xfrm>
              <a:off x="12504964" y="4376057"/>
              <a:ext cx="6727172" cy="3135085"/>
              <a:chOff x="12211050" y="4386943"/>
              <a:chExt cx="6727172" cy="3135085"/>
            </a:xfrm>
          </xdr:grpSpPr>
          <xdr:pic>
            <xdr:nvPicPr>
              <xdr:cNvPr id="2" name="Picture 1">
                <a:extLst>
                  <a:ext uri="{FF2B5EF4-FFF2-40B4-BE49-F238E27FC236}">
                    <a16:creationId xmlns:a16="http://schemas.microsoft.com/office/drawing/2014/main" id="{08B50FF7-E18F-4388-918D-34C37A03D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11050" y="4637314"/>
                <a:ext cx="6727172" cy="2884714"/>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4" name="Straight Arrow Connector 3">
                <a:extLst>
                  <a:ext uri="{FF2B5EF4-FFF2-40B4-BE49-F238E27FC236}">
                    <a16:creationId xmlns:a16="http://schemas.microsoft.com/office/drawing/2014/main" id="{09A54EE0-184E-451D-A543-0621CCAD8252}"/>
                  </a:ext>
                </a:extLst>
              </xdr:cNvPr>
              <xdr:cNvCxnSpPr/>
            </xdr:nvCxnSpPr>
            <xdr:spPr>
              <a:xfrm>
                <a:off x="14194971" y="4386943"/>
                <a:ext cx="1371600" cy="4680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 name="Straight Arrow Connector 7">
              <a:extLst>
                <a:ext uri="{FF2B5EF4-FFF2-40B4-BE49-F238E27FC236}">
                  <a16:creationId xmlns:a16="http://schemas.microsoft.com/office/drawing/2014/main" id="{F0EBDB84-1C51-4763-97B5-915C93722364}"/>
                </a:ext>
              </a:extLst>
            </xdr:cNvPr>
            <xdr:cNvCxnSpPr/>
          </xdr:nvCxnSpPr>
          <xdr:spPr>
            <a:xfrm flipV="1">
              <a:off x="13367657" y="5225143"/>
              <a:ext cx="5072743" cy="26234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11" name="TextBox 10">
            <a:extLst>
              <a:ext uri="{FF2B5EF4-FFF2-40B4-BE49-F238E27FC236}">
                <a16:creationId xmlns:a16="http://schemas.microsoft.com/office/drawing/2014/main" id="{A66F4BEB-FDF8-4526-B7C3-18DC6F08C4DC}"/>
              </a:ext>
            </a:extLst>
          </xdr:cNvPr>
          <xdr:cNvSpPr txBox="1"/>
        </xdr:nvSpPr>
        <xdr:spPr>
          <a:xfrm>
            <a:off x="12616543" y="5029200"/>
            <a:ext cx="1240971" cy="283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COL</a:t>
            </a:r>
          </a:p>
        </xdr:txBody>
      </xdr:sp>
    </xdr:grpSp>
    <xdr:clientData/>
  </xdr:twoCellAnchor>
  <xdr:twoCellAnchor>
    <xdr:from>
      <xdr:col>20</xdr:col>
      <xdr:colOff>478972</xdr:colOff>
      <xdr:row>43</xdr:row>
      <xdr:rowOff>76198</xdr:rowOff>
    </xdr:from>
    <xdr:to>
      <xdr:col>25</xdr:col>
      <xdr:colOff>130629</xdr:colOff>
      <xdr:row>53</xdr:row>
      <xdr:rowOff>91620</xdr:rowOff>
    </xdr:to>
    <xdr:grpSp>
      <xdr:nvGrpSpPr>
        <xdr:cNvPr id="14" name="Group 13">
          <a:extLst>
            <a:ext uri="{FF2B5EF4-FFF2-40B4-BE49-F238E27FC236}">
              <a16:creationId xmlns:a16="http://schemas.microsoft.com/office/drawing/2014/main" id="{CD123F12-CC20-4D96-B1E1-59ED230DEFCB}"/>
            </a:ext>
          </a:extLst>
        </xdr:cNvPr>
        <xdr:cNvGrpSpPr/>
      </xdr:nvGrpSpPr>
      <xdr:grpSpPr>
        <a:xfrm>
          <a:off x="25116972" y="8737598"/>
          <a:ext cx="2699657" cy="2225222"/>
          <a:chOff x="11985172" y="8719456"/>
          <a:chExt cx="2699657" cy="2061936"/>
        </a:xfrm>
      </xdr:grpSpPr>
      <xdr:pic>
        <xdr:nvPicPr>
          <xdr:cNvPr id="9" name="Picture 8">
            <a:extLst>
              <a:ext uri="{FF2B5EF4-FFF2-40B4-BE49-F238E27FC236}">
                <a16:creationId xmlns:a16="http://schemas.microsoft.com/office/drawing/2014/main" id="{FF9ACE9E-B5EE-45C7-96FE-20890452B9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85172" y="8719456"/>
            <a:ext cx="2699657" cy="20619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TextBox 11">
            <a:extLst>
              <a:ext uri="{FF2B5EF4-FFF2-40B4-BE49-F238E27FC236}">
                <a16:creationId xmlns:a16="http://schemas.microsoft.com/office/drawing/2014/main" id="{08992E36-8BA5-4A7B-B30F-AE55AEC46BB6}"/>
              </a:ext>
            </a:extLst>
          </xdr:cNvPr>
          <xdr:cNvSpPr txBox="1"/>
        </xdr:nvSpPr>
        <xdr:spPr>
          <a:xfrm>
            <a:off x="12551228" y="8882741"/>
            <a:ext cx="870857" cy="457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COL</a:t>
            </a:r>
          </a:p>
        </xdr:txBody>
      </xdr:sp>
    </xdr:grpSp>
    <xdr:clientData/>
  </xdr:twoCellAnchor>
  <xdr:twoCellAnchor>
    <xdr:from>
      <xdr:col>2</xdr:col>
      <xdr:colOff>1469572</xdr:colOff>
      <xdr:row>65</xdr:row>
      <xdr:rowOff>97970</xdr:rowOff>
    </xdr:from>
    <xdr:to>
      <xdr:col>19</xdr:col>
      <xdr:colOff>576944</xdr:colOff>
      <xdr:row>72</xdr:row>
      <xdr:rowOff>108856</xdr:rowOff>
    </xdr:to>
    <xdr:grpSp>
      <xdr:nvGrpSpPr>
        <xdr:cNvPr id="22" name="Group 21">
          <a:extLst>
            <a:ext uri="{FF2B5EF4-FFF2-40B4-BE49-F238E27FC236}">
              <a16:creationId xmlns:a16="http://schemas.microsoft.com/office/drawing/2014/main" id="{6C461887-780C-48F6-8309-EF40A1340C8B}"/>
            </a:ext>
          </a:extLst>
        </xdr:cNvPr>
        <xdr:cNvGrpSpPr/>
      </xdr:nvGrpSpPr>
      <xdr:grpSpPr>
        <a:xfrm>
          <a:off x="5063672" y="13102770"/>
          <a:ext cx="19541672" cy="1268186"/>
          <a:chOff x="5061857" y="12213771"/>
          <a:chExt cx="6433457" cy="2133600"/>
        </a:xfrm>
      </xdr:grpSpPr>
      <xdr:cxnSp macro="">
        <xdr:nvCxnSpPr>
          <xdr:cNvPr id="19" name="Straight Connector 18">
            <a:extLst>
              <a:ext uri="{FF2B5EF4-FFF2-40B4-BE49-F238E27FC236}">
                <a16:creationId xmlns:a16="http://schemas.microsoft.com/office/drawing/2014/main" id="{804051EE-341C-4CF3-A136-39F1EBB9C46D}"/>
              </a:ext>
            </a:extLst>
          </xdr:cNvPr>
          <xdr:cNvCxnSpPr/>
        </xdr:nvCxnSpPr>
        <xdr:spPr>
          <a:xfrm>
            <a:off x="11484429" y="12213771"/>
            <a:ext cx="10885" cy="212271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31CCEA6F-E804-4DE5-8B0C-16B7C08B5B93}"/>
              </a:ext>
            </a:extLst>
          </xdr:cNvPr>
          <xdr:cNvCxnSpPr/>
        </xdr:nvCxnSpPr>
        <xdr:spPr>
          <a:xfrm flipH="1">
            <a:off x="5061857" y="14325600"/>
            <a:ext cx="6422572" cy="217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2</xdr:row>
      <xdr:rowOff>0</xdr:rowOff>
    </xdr:from>
    <xdr:to>
      <xdr:col>10</xdr:col>
      <xdr:colOff>330200</xdr:colOff>
      <xdr:row>25</xdr:row>
      <xdr:rowOff>15240</xdr:rowOff>
    </xdr:to>
    <xdr:pic>
      <xdr:nvPicPr>
        <xdr:cNvPr id="35" name="Picture 34">
          <a:extLst>
            <a:ext uri="{FF2B5EF4-FFF2-40B4-BE49-F238E27FC236}">
              <a16:creationId xmlns:a16="http://schemas.microsoft.com/office/drawing/2014/main" id="{30F02B2F-012D-45F1-B94E-1A55E3F13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3556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482600</xdr:colOff>
      <xdr:row>1</xdr:row>
      <xdr:rowOff>165100</xdr:rowOff>
    </xdr:from>
    <xdr:to>
      <xdr:col>20</xdr:col>
      <xdr:colOff>139700</xdr:colOff>
      <xdr:row>25</xdr:row>
      <xdr:rowOff>2540</xdr:rowOff>
    </xdr:to>
    <xdr:pic>
      <xdr:nvPicPr>
        <xdr:cNvPr id="36" name="Picture 35">
          <a:extLst>
            <a:ext uri="{FF2B5EF4-FFF2-40B4-BE49-F238E27FC236}">
              <a16:creationId xmlns:a16="http://schemas.microsoft.com/office/drawing/2014/main" id="{BF1FEAAF-5B99-4A25-AB45-BD52D9F348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78600" y="3429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xdr:row>
      <xdr:rowOff>0</xdr:rowOff>
    </xdr:from>
    <xdr:to>
      <xdr:col>30</xdr:col>
      <xdr:colOff>68580</xdr:colOff>
      <xdr:row>25</xdr:row>
      <xdr:rowOff>15240</xdr:rowOff>
    </xdr:to>
    <xdr:pic>
      <xdr:nvPicPr>
        <xdr:cNvPr id="37" name="Picture 36">
          <a:extLst>
            <a:ext uri="{FF2B5EF4-FFF2-40B4-BE49-F238E27FC236}">
              <a16:creationId xmlns:a16="http://schemas.microsoft.com/office/drawing/2014/main" id="{99B43741-1171-40A3-9505-B3E8E034C0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801600" y="365760"/>
          <a:ext cx="55549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419100</xdr:colOff>
      <xdr:row>2</xdr:row>
      <xdr:rowOff>0</xdr:rowOff>
    </xdr:from>
    <xdr:to>
      <xdr:col>40</xdr:col>
      <xdr:colOff>76200</xdr:colOff>
      <xdr:row>25</xdr:row>
      <xdr:rowOff>15240</xdr:rowOff>
    </xdr:to>
    <xdr:pic>
      <xdr:nvPicPr>
        <xdr:cNvPr id="38" name="Picture 37">
          <a:extLst>
            <a:ext uri="{FF2B5EF4-FFF2-40B4-BE49-F238E27FC236}">
              <a16:creationId xmlns:a16="http://schemas.microsoft.com/office/drawing/2014/main" id="{944D12F3-B553-44EF-9381-6BF712DC83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07100" y="3556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2</xdr:row>
      <xdr:rowOff>0</xdr:rowOff>
    </xdr:from>
    <xdr:to>
      <xdr:col>50</xdr:col>
      <xdr:colOff>137160</xdr:colOff>
      <xdr:row>25</xdr:row>
      <xdr:rowOff>15240</xdr:rowOff>
    </xdr:to>
    <xdr:pic>
      <xdr:nvPicPr>
        <xdr:cNvPr id="39" name="Picture 38">
          <a:extLst>
            <a:ext uri="{FF2B5EF4-FFF2-40B4-BE49-F238E27FC236}">
              <a16:creationId xmlns:a16="http://schemas.microsoft.com/office/drawing/2014/main" id="{36838511-18C5-4BB8-8B38-8AF7D7AFCC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993600" y="365760"/>
          <a:ext cx="562356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177800</xdr:colOff>
      <xdr:row>2</xdr:row>
      <xdr:rowOff>12700</xdr:rowOff>
    </xdr:from>
    <xdr:to>
      <xdr:col>59</xdr:col>
      <xdr:colOff>292100</xdr:colOff>
      <xdr:row>25</xdr:row>
      <xdr:rowOff>27940</xdr:rowOff>
    </xdr:to>
    <xdr:pic>
      <xdr:nvPicPr>
        <xdr:cNvPr id="40" name="Picture 39">
          <a:extLst>
            <a:ext uri="{FF2B5EF4-FFF2-40B4-BE49-F238E27FC236}">
              <a16:creationId xmlns:a16="http://schemas.microsoft.com/office/drawing/2014/main" id="{46DDDB3B-99CF-4168-B48E-C666E744D9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657800" y="368300"/>
          <a:ext cx="56007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2</xdr:row>
      <xdr:rowOff>0</xdr:rowOff>
    </xdr:from>
    <xdr:to>
      <xdr:col>69</xdr:col>
      <xdr:colOff>22860</xdr:colOff>
      <xdr:row>25</xdr:row>
      <xdr:rowOff>15240</xdr:rowOff>
    </xdr:to>
    <xdr:pic>
      <xdr:nvPicPr>
        <xdr:cNvPr id="41" name="Picture 40">
          <a:extLst>
            <a:ext uri="{FF2B5EF4-FFF2-40B4-BE49-F238E27FC236}">
              <a16:creationId xmlns:a16="http://schemas.microsoft.com/office/drawing/2014/main" id="{C0379208-1F4B-4649-95F3-22622007F7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76000" y="365760"/>
          <a:ext cx="550926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2</xdr:row>
      <xdr:rowOff>0</xdr:rowOff>
    </xdr:from>
    <xdr:to>
      <xdr:col>78</xdr:col>
      <xdr:colOff>220980</xdr:colOff>
      <xdr:row>25</xdr:row>
      <xdr:rowOff>15240</xdr:rowOff>
    </xdr:to>
    <xdr:pic>
      <xdr:nvPicPr>
        <xdr:cNvPr id="42" name="Picture 41">
          <a:extLst>
            <a:ext uri="{FF2B5EF4-FFF2-40B4-BE49-F238E27FC236}">
              <a16:creationId xmlns:a16="http://schemas.microsoft.com/office/drawing/2014/main" id="{A70620E6-389B-4948-9E26-099E4E92DD5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062400" y="365760"/>
          <a:ext cx="57073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2</xdr:row>
      <xdr:rowOff>0</xdr:rowOff>
    </xdr:from>
    <xdr:to>
      <xdr:col>88</xdr:col>
      <xdr:colOff>220980</xdr:colOff>
      <xdr:row>25</xdr:row>
      <xdr:rowOff>15240</xdr:rowOff>
    </xdr:to>
    <xdr:pic>
      <xdr:nvPicPr>
        <xdr:cNvPr id="43" name="Picture 42">
          <a:extLst>
            <a:ext uri="{FF2B5EF4-FFF2-40B4-BE49-F238E27FC236}">
              <a16:creationId xmlns:a16="http://schemas.microsoft.com/office/drawing/2014/main" id="{2BAECCC3-19C6-4DBC-B035-6F9056B22D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8158400" y="365760"/>
          <a:ext cx="57073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469900</xdr:colOff>
      <xdr:row>1</xdr:row>
      <xdr:rowOff>139700</xdr:rowOff>
    </xdr:from>
    <xdr:to>
      <xdr:col>98</xdr:col>
      <xdr:colOff>195580</xdr:colOff>
      <xdr:row>24</xdr:row>
      <xdr:rowOff>154940</xdr:rowOff>
    </xdr:to>
    <xdr:pic>
      <xdr:nvPicPr>
        <xdr:cNvPr id="44" name="Picture 43">
          <a:extLst>
            <a:ext uri="{FF2B5EF4-FFF2-40B4-BE49-F238E27FC236}">
              <a16:creationId xmlns:a16="http://schemas.microsoft.com/office/drawing/2014/main" id="{2DBC3E5C-CA63-4A80-B8B8-4F02A939105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114700" y="317500"/>
          <a:ext cx="58216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99</xdr:col>
      <xdr:colOff>0</xdr:colOff>
      <xdr:row>2</xdr:row>
      <xdr:rowOff>0</xdr:rowOff>
    </xdr:from>
    <xdr:to>
      <xdr:col>108</xdr:col>
      <xdr:colOff>381000</xdr:colOff>
      <xdr:row>25</xdr:row>
      <xdr:rowOff>15240</xdr:rowOff>
    </xdr:to>
    <xdr:pic>
      <xdr:nvPicPr>
        <xdr:cNvPr id="45" name="Picture 44">
          <a:extLst>
            <a:ext uri="{FF2B5EF4-FFF2-40B4-BE49-F238E27FC236}">
              <a16:creationId xmlns:a16="http://schemas.microsoft.com/office/drawing/2014/main" id="{B13EEAFD-3C7E-4BD4-8092-B48845471B6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0" y="365760"/>
          <a:ext cx="58674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10</xdr:col>
      <xdr:colOff>91440</xdr:colOff>
      <xdr:row>78</xdr:row>
      <xdr:rowOff>15240</xdr:rowOff>
    </xdr:to>
    <xdr:pic>
      <xdr:nvPicPr>
        <xdr:cNvPr id="46" name="Picture 45">
          <a:extLst>
            <a:ext uri="{FF2B5EF4-FFF2-40B4-BE49-F238E27FC236}">
              <a16:creationId xmlns:a16="http://schemas.microsoft.com/office/drawing/2014/main" id="{B47776EA-4AC9-4800-840C-CE0EB61E85A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0058400"/>
          <a:ext cx="55778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304800</xdr:colOff>
      <xdr:row>55</xdr:row>
      <xdr:rowOff>38100</xdr:rowOff>
    </xdr:from>
    <xdr:to>
      <xdr:col>19</xdr:col>
      <xdr:colOff>396240</xdr:colOff>
      <xdr:row>78</xdr:row>
      <xdr:rowOff>53340</xdr:rowOff>
    </xdr:to>
    <xdr:pic>
      <xdr:nvPicPr>
        <xdr:cNvPr id="47" name="Picture 46">
          <a:extLst>
            <a:ext uri="{FF2B5EF4-FFF2-40B4-BE49-F238E27FC236}">
              <a16:creationId xmlns:a16="http://schemas.microsoft.com/office/drawing/2014/main" id="{060C8E5A-3405-4B88-81C8-E41CCC9E288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00800" y="98171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444500</xdr:colOff>
      <xdr:row>55</xdr:row>
      <xdr:rowOff>25400</xdr:rowOff>
    </xdr:from>
    <xdr:to>
      <xdr:col>29</xdr:col>
      <xdr:colOff>383540</xdr:colOff>
      <xdr:row>78</xdr:row>
      <xdr:rowOff>40640</xdr:rowOff>
    </xdr:to>
    <xdr:pic>
      <xdr:nvPicPr>
        <xdr:cNvPr id="48" name="Picture 47">
          <a:extLst>
            <a:ext uri="{FF2B5EF4-FFF2-40B4-BE49-F238E27FC236}">
              <a16:creationId xmlns:a16="http://schemas.microsoft.com/office/drawing/2014/main" id="{6C62D999-E54A-48BF-A859-231AC26EDBA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636500" y="9804400"/>
          <a:ext cx="54254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241300</xdr:colOff>
      <xdr:row>55</xdr:row>
      <xdr:rowOff>12700</xdr:rowOff>
    </xdr:from>
    <xdr:to>
      <xdr:col>39</xdr:col>
      <xdr:colOff>332740</xdr:colOff>
      <xdr:row>78</xdr:row>
      <xdr:rowOff>27940</xdr:rowOff>
    </xdr:to>
    <xdr:pic>
      <xdr:nvPicPr>
        <xdr:cNvPr id="49" name="Picture 48">
          <a:extLst>
            <a:ext uri="{FF2B5EF4-FFF2-40B4-BE49-F238E27FC236}">
              <a16:creationId xmlns:a16="http://schemas.microsoft.com/office/drawing/2014/main" id="{FF67A0BD-8CF4-4A61-9960-0BF508B4915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529300" y="97917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190500</xdr:colOff>
      <xdr:row>54</xdr:row>
      <xdr:rowOff>165100</xdr:rowOff>
    </xdr:from>
    <xdr:to>
      <xdr:col>49</xdr:col>
      <xdr:colOff>152400</xdr:colOff>
      <xdr:row>78</xdr:row>
      <xdr:rowOff>2540</xdr:rowOff>
    </xdr:to>
    <xdr:pic>
      <xdr:nvPicPr>
        <xdr:cNvPr id="50" name="Picture 49">
          <a:extLst>
            <a:ext uri="{FF2B5EF4-FFF2-40B4-BE49-F238E27FC236}">
              <a16:creationId xmlns:a16="http://schemas.microsoft.com/office/drawing/2014/main" id="{E74671FE-7367-429B-8CF0-59CEC33281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574500" y="9766300"/>
          <a:ext cx="54483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241300</xdr:colOff>
      <xdr:row>55</xdr:row>
      <xdr:rowOff>50800</xdr:rowOff>
    </xdr:from>
    <xdr:to>
      <xdr:col>58</xdr:col>
      <xdr:colOff>256540</xdr:colOff>
      <xdr:row>78</xdr:row>
      <xdr:rowOff>66040</xdr:rowOff>
    </xdr:to>
    <xdr:pic>
      <xdr:nvPicPr>
        <xdr:cNvPr id="51" name="Picture 50">
          <a:extLst>
            <a:ext uri="{FF2B5EF4-FFF2-40B4-BE49-F238E27FC236}">
              <a16:creationId xmlns:a16="http://schemas.microsoft.com/office/drawing/2014/main" id="{2A2A375D-B31A-42AD-909C-06FEC54A21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111700" y="9829800"/>
          <a:ext cx="55016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139700</xdr:colOff>
      <xdr:row>55</xdr:row>
      <xdr:rowOff>25400</xdr:rowOff>
    </xdr:from>
    <xdr:to>
      <xdr:col>67</xdr:col>
      <xdr:colOff>596900</xdr:colOff>
      <xdr:row>78</xdr:row>
      <xdr:rowOff>40640</xdr:rowOff>
    </xdr:to>
    <xdr:pic>
      <xdr:nvPicPr>
        <xdr:cNvPr id="52" name="Picture 51">
          <a:extLst>
            <a:ext uri="{FF2B5EF4-FFF2-40B4-BE49-F238E27FC236}">
              <a16:creationId xmlns:a16="http://schemas.microsoft.com/office/drawing/2014/main" id="{855CE8B0-2BD2-4746-9E05-F89C87B35AB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6106100" y="9804400"/>
          <a:ext cx="53340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508000</xdr:colOff>
      <xdr:row>55</xdr:row>
      <xdr:rowOff>50800</xdr:rowOff>
    </xdr:from>
    <xdr:to>
      <xdr:col>77</xdr:col>
      <xdr:colOff>553720</xdr:colOff>
      <xdr:row>78</xdr:row>
      <xdr:rowOff>66040</xdr:rowOff>
    </xdr:to>
    <xdr:pic>
      <xdr:nvPicPr>
        <xdr:cNvPr id="53" name="Picture 52">
          <a:extLst>
            <a:ext uri="{FF2B5EF4-FFF2-40B4-BE49-F238E27FC236}">
              <a16:creationId xmlns:a16="http://schemas.microsoft.com/office/drawing/2014/main" id="{01EF70E6-D3B1-481F-BEFF-48537269AEF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1960800" y="9829800"/>
          <a:ext cx="55321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266700</xdr:colOff>
      <xdr:row>55</xdr:row>
      <xdr:rowOff>38100</xdr:rowOff>
    </xdr:from>
    <xdr:to>
      <xdr:col>87</xdr:col>
      <xdr:colOff>259080</xdr:colOff>
      <xdr:row>78</xdr:row>
      <xdr:rowOff>114300</xdr:rowOff>
    </xdr:to>
    <xdr:pic>
      <xdr:nvPicPr>
        <xdr:cNvPr id="54" name="Picture 53">
          <a:extLst>
            <a:ext uri="{FF2B5EF4-FFF2-40B4-BE49-F238E27FC236}">
              <a16:creationId xmlns:a16="http://schemas.microsoft.com/office/drawing/2014/main" id="{E501EA66-F860-452A-920C-A7E93BB874D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7815500" y="9817100"/>
          <a:ext cx="547878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406400</xdr:colOff>
      <xdr:row>55</xdr:row>
      <xdr:rowOff>25400</xdr:rowOff>
    </xdr:from>
    <xdr:to>
      <xdr:col>97</xdr:col>
      <xdr:colOff>566420</xdr:colOff>
      <xdr:row>78</xdr:row>
      <xdr:rowOff>40640</xdr:rowOff>
    </xdr:to>
    <xdr:pic>
      <xdr:nvPicPr>
        <xdr:cNvPr id="55" name="Picture 54">
          <a:extLst>
            <a:ext uri="{FF2B5EF4-FFF2-40B4-BE49-F238E27FC236}">
              <a16:creationId xmlns:a16="http://schemas.microsoft.com/office/drawing/2014/main" id="{15A18F62-808F-4CAA-A774-E01444B9BC0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4051200" y="9804400"/>
          <a:ext cx="56464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546100</xdr:colOff>
      <xdr:row>55</xdr:row>
      <xdr:rowOff>25400</xdr:rowOff>
    </xdr:from>
    <xdr:to>
      <xdr:col>108</xdr:col>
      <xdr:colOff>142240</xdr:colOff>
      <xdr:row>78</xdr:row>
      <xdr:rowOff>40640</xdr:rowOff>
    </xdr:to>
    <xdr:pic>
      <xdr:nvPicPr>
        <xdr:cNvPr id="56" name="Picture 55">
          <a:extLst>
            <a:ext uri="{FF2B5EF4-FFF2-40B4-BE49-F238E27FC236}">
              <a16:creationId xmlns:a16="http://schemas.microsoft.com/office/drawing/2014/main" id="{68F9CFC8-FF56-4846-8042-D20100FEC3B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286900" y="9804400"/>
          <a:ext cx="56921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584200</xdr:colOff>
      <xdr:row>28</xdr:row>
      <xdr:rowOff>50800</xdr:rowOff>
    </xdr:from>
    <xdr:to>
      <xdr:col>10</xdr:col>
      <xdr:colOff>241300</xdr:colOff>
      <xdr:row>51</xdr:row>
      <xdr:rowOff>66040</xdr:rowOff>
    </xdr:to>
    <xdr:pic>
      <xdr:nvPicPr>
        <xdr:cNvPr id="57" name="Picture 56">
          <a:extLst>
            <a:ext uri="{FF2B5EF4-FFF2-40B4-BE49-F238E27FC236}">
              <a16:creationId xmlns:a16="http://schemas.microsoft.com/office/drawing/2014/main" id="{876B0883-1812-4FCD-A520-254535CDC37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4200" y="50292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419100</xdr:colOff>
      <xdr:row>28</xdr:row>
      <xdr:rowOff>50800</xdr:rowOff>
    </xdr:from>
    <xdr:to>
      <xdr:col>20</xdr:col>
      <xdr:colOff>76200</xdr:colOff>
      <xdr:row>51</xdr:row>
      <xdr:rowOff>66040</xdr:rowOff>
    </xdr:to>
    <xdr:pic>
      <xdr:nvPicPr>
        <xdr:cNvPr id="58" name="Picture 57">
          <a:extLst>
            <a:ext uri="{FF2B5EF4-FFF2-40B4-BE49-F238E27FC236}">
              <a16:creationId xmlns:a16="http://schemas.microsoft.com/office/drawing/2014/main" id="{8DC2D3B2-9882-44EC-B8EC-7A79DF172A3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515100" y="50292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431800</xdr:colOff>
      <xdr:row>28</xdr:row>
      <xdr:rowOff>38100</xdr:rowOff>
    </xdr:from>
    <xdr:to>
      <xdr:col>29</xdr:col>
      <xdr:colOff>500380</xdr:colOff>
      <xdr:row>51</xdr:row>
      <xdr:rowOff>53340</xdr:rowOff>
    </xdr:to>
    <xdr:pic>
      <xdr:nvPicPr>
        <xdr:cNvPr id="59" name="Picture 58">
          <a:extLst>
            <a:ext uri="{FF2B5EF4-FFF2-40B4-BE49-F238E27FC236}">
              <a16:creationId xmlns:a16="http://schemas.microsoft.com/office/drawing/2014/main" id="{1727EF4C-A048-4055-92F1-1074B591893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623800" y="5016500"/>
          <a:ext cx="55549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482600</xdr:colOff>
      <xdr:row>28</xdr:row>
      <xdr:rowOff>12700</xdr:rowOff>
    </xdr:from>
    <xdr:to>
      <xdr:col>40</xdr:col>
      <xdr:colOff>139700</xdr:colOff>
      <xdr:row>51</xdr:row>
      <xdr:rowOff>27940</xdr:rowOff>
    </xdr:to>
    <xdr:pic>
      <xdr:nvPicPr>
        <xdr:cNvPr id="60" name="Picture 59">
          <a:extLst>
            <a:ext uri="{FF2B5EF4-FFF2-40B4-BE49-F238E27FC236}">
              <a16:creationId xmlns:a16="http://schemas.microsoft.com/office/drawing/2014/main" id="{0F6AFCE1-322F-432C-9992-D2C3F1A7216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770600" y="49911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406400</xdr:colOff>
      <xdr:row>28</xdr:row>
      <xdr:rowOff>25400</xdr:rowOff>
    </xdr:from>
    <xdr:to>
      <xdr:col>49</xdr:col>
      <xdr:colOff>543560</xdr:colOff>
      <xdr:row>51</xdr:row>
      <xdr:rowOff>40640</xdr:rowOff>
    </xdr:to>
    <xdr:pic>
      <xdr:nvPicPr>
        <xdr:cNvPr id="61" name="Picture 60">
          <a:extLst>
            <a:ext uri="{FF2B5EF4-FFF2-40B4-BE49-F238E27FC236}">
              <a16:creationId xmlns:a16="http://schemas.microsoft.com/office/drawing/2014/main" id="{B53D2122-4FE1-4C20-A136-8088FEFF47F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4790400" y="5003800"/>
          <a:ext cx="562356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12700</xdr:colOff>
      <xdr:row>28</xdr:row>
      <xdr:rowOff>127000</xdr:rowOff>
    </xdr:from>
    <xdr:to>
      <xdr:col>59</xdr:col>
      <xdr:colOff>127000</xdr:colOff>
      <xdr:row>51</xdr:row>
      <xdr:rowOff>142240</xdr:rowOff>
    </xdr:to>
    <xdr:pic>
      <xdr:nvPicPr>
        <xdr:cNvPr id="62" name="Picture 61">
          <a:extLst>
            <a:ext uri="{FF2B5EF4-FFF2-40B4-BE49-F238E27FC236}">
              <a16:creationId xmlns:a16="http://schemas.microsoft.com/office/drawing/2014/main" id="{01CF56B0-56C1-4A76-8736-67081CFE431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0492700" y="5105400"/>
          <a:ext cx="56007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431800</xdr:colOff>
      <xdr:row>28</xdr:row>
      <xdr:rowOff>25400</xdr:rowOff>
    </xdr:from>
    <xdr:to>
      <xdr:col>68</xdr:col>
      <xdr:colOff>523240</xdr:colOff>
      <xdr:row>51</xdr:row>
      <xdr:rowOff>101600</xdr:rowOff>
    </xdr:to>
    <xdr:pic>
      <xdr:nvPicPr>
        <xdr:cNvPr id="63" name="Picture 62">
          <a:extLst>
            <a:ext uri="{FF2B5EF4-FFF2-40B4-BE49-F238E27FC236}">
              <a16:creationId xmlns:a16="http://schemas.microsoft.com/office/drawing/2014/main" id="{F88266F9-E5C4-4286-A7D5-3FD394A66959}"/>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6398200" y="5003800"/>
          <a:ext cx="557784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546100</xdr:colOff>
      <xdr:row>28</xdr:row>
      <xdr:rowOff>38100</xdr:rowOff>
    </xdr:from>
    <xdr:to>
      <xdr:col>78</xdr:col>
      <xdr:colOff>157480</xdr:colOff>
      <xdr:row>51</xdr:row>
      <xdr:rowOff>53340</xdr:rowOff>
    </xdr:to>
    <xdr:pic>
      <xdr:nvPicPr>
        <xdr:cNvPr id="64" name="Picture 63">
          <a:extLst>
            <a:ext uri="{FF2B5EF4-FFF2-40B4-BE49-F238E27FC236}">
              <a16:creationId xmlns:a16="http://schemas.microsoft.com/office/drawing/2014/main" id="{AC926DED-B806-497E-9F7B-5AE78019A76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1998900" y="5016500"/>
          <a:ext cx="57073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533400</xdr:colOff>
      <xdr:row>27</xdr:row>
      <xdr:rowOff>165100</xdr:rowOff>
    </xdr:from>
    <xdr:to>
      <xdr:col>88</xdr:col>
      <xdr:colOff>91440</xdr:colOff>
      <xdr:row>51</xdr:row>
      <xdr:rowOff>2540</xdr:rowOff>
    </xdr:to>
    <xdr:pic>
      <xdr:nvPicPr>
        <xdr:cNvPr id="65" name="Picture 64">
          <a:extLst>
            <a:ext uri="{FF2B5EF4-FFF2-40B4-BE49-F238E27FC236}">
              <a16:creationId xmlns:a16="http://schemas.microsoft.com/office/drawing/2014/main" id="{AF36BED8-34A8-456D-AA33-71193EF5693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8082200" y="4965700"/>
          <a:ext cx="56540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89</xdr:col>
      <xdr:colOff>0</xdr:colOff>
      <xdr:row>28</xdr:row>
      <xdr:rowOff>0</xdr:rowOff>
    </xdr:from>
    <xdr:to>
      <xdr:col>98</xdr:col>
      <xdr:colOff>335280</xdr:colOff>
      <xdr:row>51</xdr:row>
      <xdr:rowOff>15240</xdr:rowOff>
    </xdr:to>
    <xdr:pic>
      <xdr:nvPicPr>
        <xdr:cNvPr id="66" name="Picture 65">
          <a:extLst>
            <a:ext uri="{FF2B5EF4-FFF2-40B4-BE49-F238E27FC236}">
              <a16:creationId xmlns:a16="http://schemas.microsoft.com/office/drawing/2014/main" id="{4B39E604-95BE-4F8C-AE52-BD5A083181B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4254400" y="5120640"/>
          <a:ext cx="58216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596900</xdr:colOff>
      <xdr:row>28</xdr:row>
      <xdr:rowOff>12700</xdr:rowOff>
    </xdr:from>
    <xdr:to>
      <xdr:col>108</xdr:col>
      <xdr:colOff>368300</xdr:colOff>
      <xdr:row>51</xdr:row>
      <xdr:rowOff>27940</xdr:rowOff>
    </xdr:to>
    <xdr:pic>
      <xdr:nvPicPr>
        <xdr:cNvPr id="67" name="Picture 66">
          <a:extLst>
            <a:ext uri="{FF2B5EF4-FFF2-40B4-BE49-F238E27FC236}">
              <a16:creationId xmlns:a16="http://schemas.microsoft.com/office/drawing/2014/main" id="{9D272F5E-9313-4649-A248-33DDAABDE8BA}"/>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337700" y="4991100"/>
          <a:ext cx="58674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355600</xdr:colOff>
      <xdr:row>1</xdr:row>
      <xdr:rowOff>165100</xdr:rowOff>
    </xdr:from>
    <xdr:to>
      <xdr:col>10</xdr:col>
      <xdr:colOff>12700</xdr:colOff>
      <xdr:row>25</xdr:row>
      <xdr:rowOff>2540</xdr:rowOff>
    </xdr:to>
    <xdr:pic>
      <xdr:nvPicPr>
        <xdr:cNvPr id="35" name="Picture 34">
          <a:extLst>
            <a:ext uri="{FF2B5EF4-FFF2-40B4-BE49-F238E27FC236}">
              <a16:creationId xmlns:a16="http://schemas.microsoft.com/office/drawing/2014/main" id="{CD527722-72C0-465B-87DE-04450C56A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5600" y="3429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19</xdr:col>
      <xdr:colOff>266700</xdr:colOff>
      <xdr:row>25</xdr:row>
      <xdr:rowOff>15240</xdr:rowOff>
    </xdr:to>
    <xdr:pic>
      <xdr:nvPicPr>
        <xdr:cNvPr id="36" name="Picture 35">
          <a:extLst>
            <a:ext uri="{FF2B5EF4-FFF2-40B4-BE49-F238E27FC236}">
              <a16:creationId xmlns:a16="http://schemas.microsoft.com/office/drawing/2014/main" id="{C218870F-1A8D-4A6A-9807-E1D8D804BE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365760"/>
          <a:ext cx="57531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393700</xdr:colOff>
      <xdr:row>1</xdr:row>
      <xdr:rowOff>165100</xdr:rowOff>
    </xdr:from>
    <xdr:to>
      <xdr:col>28</xdr:col>
      <xdr:colOff>530860</xdr:colOff>
      <xdr:row>25</xdr:row>
      <xdr:rowOff>2540</xdr:rowOff>
    </xdr:to>
    <xdr:pic>
      <xdr:nvPicPr>
        <xdr:cNvPr id="37" name="Picture 36">
          <a:extLst>
            <a:ext uri="{FF2B5EF4-FFF2-40B4-BE49-F238E27FC236}">
              <a16:creationId xmlns:a16="http://schemas.microsoft.com/office/drawing/2014/main" id="{58D60579-535B-4673-9B2B-C1D94DC0E9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6100" y="342900"/>
          <a:ext cx="562356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368300</xdr:colOff>
      <xdr:row>2</xdr:row>
      <xdr:rowOff>0</xdr:rowOff>
    </xdr:from>
    <xdr:to>
      <xdr:col>39</xdr:col>
      <xdr:colOff>25400</xdr:colOff>
      <xdr:row>25</xdr:row>
      <xdr:rowOff>15240</xdr:rowOff>
    </xdr:to>
    <xdr:pic>
      <xdr:nvPicPr>
        <xdr:cNvPr id="38" name="Picture 37">
          <a:extLst>
            <a:ext uri="{FF2B5EF4-FFF2-40B4-BE49-F238E27FC236}">
              <a16:creationId xmlns:a16="http://schemas.microsoft.com/office/drawing/2014/main" id="{0E42C415-D3B0-4136-900A-081E2986C7A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046700" y="3556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0</xdr:colOff>
      <xdr:row>2</xdr:row>
      <xdr:rowOff>0</xdr:rowOff>
    </xdr:from>
    <xdr:to>
      <xdr:col>49</xdr:col>
      <xdr:colOff>137160</xdr:colOff>
      <xdr:row>25</xdr:row>
      <xdr:rowOff>15240</xdr:rowOff>
    </xdr:to>
    <xdr:pic>
      <xdr:nvPicPr>
        <xdr:cNvPr id="39" name="Picture 38">
          <a:extLst>
            <a:ext uri="{FF2B5EF4-FFF2-40B4-BE49-F238E27FC236}">
              <a16:creationId xmlns:a16="http://schemas.microsoft.com/office/drawing/2014/main" id="{853A3467-C671-4721-8E52-7D9010510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00" y="365760"/>
          <a:ext cx="562356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165100</xdr:colOff>
      <xdr:row>2</xdr:row>
      <xdr:rowOff>25400</xdr:rowOff>
    </xdr:from>
    <xdr:to>
      <xdr:col>58</xdr:col>
      <xdr:colOff>233680</xdr:colOff>
      <xdr:row>25</xdr:row>
      <xdr:rowOff>40640</xdr:rowOff>
    </xdr:to>
    <xdr:pic>
      <xdr:nvPicPr>
        <xdr:cNvPr id="40" name="Picture 39">
          <a:extLst>
            <a:ext uri="{FF2B5EF4-FFF2-40B4-BE49-F238E27FC236}">
              <a16:creationId xmlns:a16="http://schemas.microsoft.com/office/drawing/2014/main" id="{97010AA6-DFFD-44FF-B1ED-19C1CE9D0F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035500" y="381000"/>
          <a:ext cx="55549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0</xdr:colOff>
      <xdr:row>2</xdr:row>
      <xdr:rowOff>0</xdr:rowOff>
    </xdr:from>
    <xdr:to>
      <xdr:col>68</xdr:col>
      <xdr:colOff>22860</xdr:colOff>
      <xdr:row>25</xdr:row>
      <xdr:rowOff>15240</xdr:rowOff>
    </xdr:to>
    <xdr:pic>
      <xdr:nvPicPr>
        <xdr:cNvPr id="41" name="Picture 40">
          <a:extLst>
            <a:ext uri="{FF2B5EF4-FFF2-40B4-BE49-F238E27FC236}">
              <a16:creationId xmlns:a16="http://schemas.microsoft.com/office/drawing/2014/main" id="{148AD17D-34D1-4478-B577-7FAF185525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5966400" y="365760"/>
          <a:ext cx="550926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38100</xdr:colOff>
      <xdr:row>2</xdr:row>
      <xdr:rowOff>0</xdr:rowOff>
    </xdr:from>
    <xdr:to>
      <xdr:col>77</xdr:col>
      <xdr:colOff>205740</xdr:colOff>
      <xdr:row>25</xdr:row>
      <xdr:rowOff>15240</xdr:rowOff>
    </xdr:to>
    <xdr:pic>
      <xdr:nvPicPr>
        <xdr:cNvPr id="42" name="Picture 41">
          <a:extLst>
            <a:ext uri="{FF2B5EF4-FFF2-40B4-BE49-F238E27FC236}">
              <a16:creationId xmlns:a16="http://schemas.microsoft.com/office/drawing/2014/main" id="{7C52AF3F-8F38-4FAF-8AB1-6B8BF40A0D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1490900" y="355600"/>
          <a:ext cx="56540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77</xdr:col>
      <xdr:colOff>368300</xdr:colOff>
      <xdr:row>1</xdr:row>
      <xdr:rowOff>152400</xdr:rowOff>
    </xdr:from>
    <xdr:to>
      <xdr:col>86</xdr:col>
      <xdr:colOff>535940</xdr:colOff>
      <xdr:row>25</xdr:row>
      <xdr:rowOff>50800</xdr:rowOff>
    </xdr:to>
    <xdr:pic>
      <xdr:nvPicPr>
        <xdr:cNvPr id="43" name="Picture 42">
          <a:extLst>
            <a:ext uri="{FF2B5EF4-FFF2-40B4-BE49-F238E27FC236}">
              <a16:creationId xmlns:a16="http://schemas.microsoft.com/office/drawing/2014/main" id="{EB7E4339-72C7-47EB-8601-85588154A7F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307500" y="330200"/>
          <a:ext cx="565404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0</xdr:colOff>
      <xdr:row>2</xdr:row>
      <xdr:rowOff>0</xdr:rowOff>
    </xdr:from>
    <xdr:to>
      <xdr:col>97</xdr:col>
      <xdr:colOff>381000</xdr:colOff>
      <xdr:row>25</xdr:row>
      <xdr:rowOff>15240</xdr:rowOff>
    </xdr:to>
    <xdr:pic>
      <xdr:nvPicPr>
        <xdr:cNvPr id="44" name="Picture 43">
          <a:extLst>
            <a:ext uri="{FF2B5EF4-FFF2-40B4-BE49-F238E27FC236}">
              <a16:creationId xmlns:a16="http://schemas.microsoft.com/office/drawing/2014/main" id="{7CE644F2-0704-43B7-A3DC-B33C75BB70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644800" y="365760"/>
          <a:ext cx="58674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0</xdr:colOff>
      <xdr:row>2</xdr:row>
      <xdr:rowOff>0</xdr:rowOff>
    </xdr:from>
    <xdr:to>
      <xdr:col>107</xdr:col>
      <xdr:colOff>381000</xdr:colOff>
      <xdr:row>25</xdr:row>
      <xdr:rowOff>15240</xdr:rowOff>
    </xdr:to>
    <xdr:pic>
      <xdr:nvPicPr>
        <xdr:cNvPr id="45" name="Picture 44">
          <a:extLst>
            <a:ext uri="{FF2B5EF4-FFF2-40B4-BE49-F238E27FC236}">
              <a16:creationId xmlns:a16="http://schemas.microsoft.com/office/drawing/2014/main" id="{D44A4ED9-2E49-4767-A5FE-991140A204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40800" y="365760"/>
          <a:ext cx="58674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190500</xdr:colOff>
      <xdr:row>55</xdr:row>
      <xdr:rowOff>50800</xdr:rowOff>
    </xdr:from>
    <xdr:to>
      <xdr:col>9</xdr:col>
      <xdr:colOff>457200</xdr:colOff>
      <xdr:row>78</xdr:row>
      <xdr:rowOff>66040</xdr:rowOff>
    </xdr:to>
    <xdr:pic>
      <xdr:nvPicPr>
        <xdr:cNvPr id="46" name="Picture 45">
          <a:extLst>
            <a:ext uri="{FF2B5EF4-FFF2-40B4-BE49-F238E27FC236}">
              <a16:creationId xmlns:a16="http://schemas.microsoft.com/office/drawing/2014/main" id="{8E3D1E38-74F6-4EB1-ABC1-A4498FDF254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0500" y="98298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55</xdr:row>
      <xdr:rowOff>0</xdr:rowOff>
    </xdr:from>
    <xdr:to>
      <xdr:col>19</xdr:col>
      <xdr:colOff>266700</xdr:colOff>
      <xdr:row>78</xdr:row>
      <xdr:rowOff>15240</xdr:rowOff>
    </xdr:to>
    <xdr:pic>
      <xdr:nvPicPr>
        <xdr:cNvPr id="47" name="Picture 46">
          <a:extLst>
            <a:ext uri="{FF2B5EF4-FFF2-40B4-BE49-F238E27FC236}">
              <a16:creationId xmlns:a16="http://schemas.microsoft.com/office/drawing/2014/main" id="{E58FE1A2-5F2F-4C4B-83CE-C439B8E9963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0" y="10058400"/>
          <a:ext cx="57531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55</xdr:row>
      <xdr:rowOff>0</xdr:rowOff>
    </xdr:from>
    <xdr:to>
      <xdr:col>29</xdr:col>
      <xdr:colOff>137160</xdr:colOff>
      <xdr:row>78</xdr:row>
      <xdr:rowOff>76200</xdr:rowOff>
    </xdr:to>
    <xdr:pic>
      <xdr:nvPicPr>
        <xdr:cNvPr id="48" name="Picture 47">
          <a:extLst>
            <a:ext uri="{FF2B5EF4-FFF2-40B4-BE49-F238E27FC236}">
              <a16:creationId xmlns:a16="http://schemas.microsoft.com/office/drawing/2014/main" id="{1189E644-73C9-4EAC-A152-28DCC13C1DE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0" y="10058400"/>
          <a:ext cx="5623560" cy="428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381000</xdr:colOff>
      <xdr:row>54</xdr:row>
      <xdr:rowOff>165100</xdr:rowOff>
    </xdr:from>
    <xdr:to>
      <xdr:col>39</xdr:col>
      <xdr:colOff>38100</xdr:colOff>
      <xdr:row>78</xdr:row>
      <xdr:rowOff>2540</xdr:rowOff>
    </xdr:to>
    <xdr:pic>
      <xdr:nvPicPr>
        <xdr:cNvPr id="50" name="Picture 49">
          <a:extLst>
            <a:ext uri="{FF2B5EF4-FFF2-40B4-BE49-F238E27FC236}">
              <a16:creationId xmlns:a16="http://schemas.microsoft.com/office/drawing/2014/main" id="{A524CE32-59CA-4AF5-86B0-23FF842E448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059400" y="97663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444500</xdr:colOff>
      <xdr:row>55</xdr:row>
      <xdr:rowOff>0</xdr:rowOff>
    </xdr:from>
    <xdr:to>
      <xdr:col>48</xdr:col>
      <xdr:colOff>581660</xdr:colOff>
      <xdr:row>78</xdr:row>
      <xdr:rowOff>15240</xdr:rowOff>
    </xdr:to>
    <xdr:pic>
      <xdr:nvPicPr>
        <xdr:cNvPr id="51" name="Picture 50">
          <a:extLst>
            <a:ext uri="{FF2B5EF4-FFF2-40B4-BE49-F238E27FC236}">
              <a16:creationId xmlns:a16="http://schemas.microsoft.com/office/drawing/2014/main" id="{AE2415F5-365D-48A8-853A-2867E80A12C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218900" y="9779000"/>
          <a:ext cx="562356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55</xdr:row>
      <xdr:rowOff>0</xdr:rowOff>
    </xdr:from>
    <xdr:to>
      <xdr:col>58</xdr:col>
      <xdr:colOff>190500</xdr:colOff>
      <xdr:row>78</xdr:row>
      <xdr:rowOff>15240</xdr:rowOff>
    </xdr:to>
    <xdr:pic>
      <xdr:nvPicPr>
        <xdr:cNvPr id="52" name="Picture 51">
          <a:extLst>
            <a:ext uri="{FF2B5EF4-FFF2-40B4-BE49-F238E27FC236}">
              <a16:creationId xmlns:a16="http://schemas.microsoft.com/office/drawing/2014/main" id="{9D561B80-EB08-4676-B210-C3F2947301A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870400" y="10058400"/>
          <a:ext cx="56769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0</xdr:colOff>
      <xdr:row>55</xdr:row>
      <xdr:rowOff>0</xdr:rowOff>
    </xdr:from>
    <xdr:to>
      <xdr:col>68</xdr:col>
      <xdr:colOff>91440</xdr:colOff>
      <xdr:row>78</xdr:row>
      <xdr:rowOff>15240</xdr:rowOff>
    </xdr:to>
    <xdr:pic>
      <xdr:nvPicPr>
        <xdr:cNvPr id="53" name="Picture 52">
          <a:extLst>
            <a:ext uri="{FF2B5EF4-FFF2-40B4-BE49-F238E27FC236}">
              <a16:creationId xmlns:a16="http://schemas.microsoft.com/office/drawing/2014/main" id="{2C215564-63DB-4E65-B444-680E32A4E6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5966400" y="10058400"/>
          <a:ext cx="55778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67</xdr:col>
      <xdr:colOff>495300</xdr:colOff>
      <xdr:row>54</xdr:row>
      <xdr:rowOff>165100</xdr:rowOff>
    </xdr:from>
    <xdr:to>
      <xdr:col>77</xdr:col>
      <xdr:colOff>106680</xdr:colOff>
      <xdr:row>78</xdr:row>
      <xdr:rowOff>2540</xdr:rowOff>
    </xdr:to>
    <xdr:pic>
      <xdr:nvPicPr>
        <xdr:cNvPr id="54" name="Picture 53">
          <a:extLst>
            <a:ext uri="{FF2B5EF4-FFF2-40B4-BE49-F238E27FC236}">
              <a16:creationId xmlns:a16="http://schemas.microsoft.com/office/drawing/2014/main" id="{93D4CF95-1D94-4DA5-B561-B8CB1B4BEB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1338500" y="9766300"/>
          <a:ext cx="57073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77</xdr:col>
      <xdr:colOff>355600</xdr:colOff>
      <xdr:row>55</xdr:row>
      <xdr:rowOff>63500</xdr:rowOff>
    </xdr:from>
    <xdr:to>
      <xdr:col>86</xdr:col>
      <xdr:colOff>523240</xdr:colOff>
      <xdr:row>78</xdr:row>
      <xdr:rowOff>78740</xdr:rowOff>
    </xdr:to>
    <xdr:pic>
      <xdr:nvPicPr>
        <xdr:cNvPr id="55" name="Picture 54">
          <a:extLst>
            <a:ext uri="{FF2B5EF4-FFF2-40B4-BE49-F238E27FC236}">
              <a16:creationId xmlns:a16="http://schemas.microsoft.com/office/drawing/2014/main" id="{1B0C6E27-5CAD-47F6-AFE5-0CEA66003CB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7294800" y="9842500"/>
          <a:ext cx="56540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0</xdr:colOff>
      <xdr:row>55</xdr:row>
      <xdr:rowOff>0</xdr:rowOff>
    </xdr:from>
    <xdr:to>
      <xdr:col>97</xdr:col>
      <xdr:colOff>381000</xdr:colOff>
      <xdr:row>78</xdr:row>
      <xdr:rowOff>15240</xdr:rowOff>
    </xdr:to>
    <xdr:pic>
      <xdr:nvPicPr>
        <xdr:cNvPr id="56" name="Picture 55">
          <a:extLst>
            <a:ext uri="{FF2B5EF4-FFF2-40B4-BE49-F238E27FC236}">
              <a16:creationId xmlns:a16="http://schemas.microsoft.com/office/drawing/2014/main" id="{FAEDC720-C7A8-430C-A4BE-CD84E81DD49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3644800" y="10058400"/>
          <a:ext cx="58674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0</xdr:colOff>
      <xdr:row>55</xdr:row>
      <xdr:rowOff>0</xdr:rowOff>
    </xdr:from>
    <xdr:to>
      <xdr:col>107</xdr:col>
      <xdr:colOff>381000</xdr:colOff>
      <xdr:row>78</xdr:row>
      <xdr:rowOff>15240</xdr:rowOff>
    </xdr:to>
    <xdr:pic>
      <xdr:nvPicPr>
        <xdr:cNvPr id="57" name="Picture 56">
          <a:extLst>
            <a:ext uri="{FF2B5EF4-FFF2-40B4-BE49-F238E27FC236}">
              <a16:creationId xmlns:a16="http://schemas.microsoft.com/office/drawing/2014/main" id="{5DFDE6AA-0F60-4607-8197-550DEEB690E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740800" y="10058400"/>
          <a:ext cx="58674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406400</xdr:colOff>
      <xdr:row>28</xdr:row>
      <xdr:rowOff>50800</xdr:rowOff>
    </xdr:from>
    <xdr:to>
      <xdr:col>10</xdr:col>
      <xdr:colOff>63500</xdr:colOff>
      <xdr:row>51</xdr:row>
      <xdr:rowOff>66040</xdr:rowOff>
    </xdr:to>
    <xdr:pic>
      <xdr:nvPicPr>
        <xdr:cNvPr id="58" name="Picture 57">
          <a:extLst>
            <a:ext uri="{FF2B5EF4-FFF2-40B4-BE49-F238E27FC236}">
              <a16:creationId xmlns:a16="http://schemas.microsoft.com/office/drawing/2014/main" id="{936EE667-F9E0-46CB-863A-F15117BEAE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06400" y="50292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28</xdr:row>
      <xdr:rowOff>0</xdr:rowOff>
    </xdr:from>
    <xdr:to>
      <xdr:col>19</xdr:col>
      <xdr:colOff>266700</xdr:colOff>
      <xdr:row>51</xdr:row>
      <xdr:rowOff>15240</xdr:rowOff>
    </xdr:to>
    <xdr:pic>
      <xdr:nvPicPr>
        <xdr:cNvPr id="59" name="Picture 58">
          <a:extLst>
            <a:ext uri="{FF2B5EF4-FFF2-40B4-BE49-F238E27FC236}">
              <a16:creationId xmlns:a16="http://schemas.microsoft.com/office/drawing/2014/main" id="{473921BE-FAEF-43B8-ACEF-EED72EEA882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0" y="5120640"/>
          <a:ext cx="57531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28</xdr:row>
      <xdr:rowOff>0</xdr:rowOff>
    </xdr:from>
    <xdr:to>
      <xdr:col>29</xdr:col>
      <xdr:colOff>68580</xdr:colOff>
      <xdr:row>51</xdr:row>
      <xdr:rowOff>15240</xdr:rowOff>
    </xdr:to>
    <xdr:pic>
      <xdr:nvPicPr>
        <xdr:cNvPr id="60" name="Picture 59">
          <a:extLst>
            <a:ext uri="{FF2B5EF4-FFF2-40B4-BE49-F238E27FC236}">
              <a16:creationId xmlns:a16="http://schemas.microsoft.com/office/drawing/2014/main" id="{6A12638A-3EB8-4759-A16E-BE08B6A0B9D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0" y="5120640"/>
          <a:ext cx="55549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444500</xdr:colOff>
      <xdr:row>28</xdr:row>
      <xdr:rowOff>38100</xdr:rowOff>
    </xdr:from>
    <xdr:to>
      <xdr:col>39</xdr:col>
      <xdr:colOff>101600</xdr:colOff>
      <xdr:row>51</xdr:row>
      <xdr:rowOff>53340</xdr:rowOff>
    </xdr:to>
    <xdr:pic>
      <xdr:nvPicPr>
        <xdr:cNvPr id="61" name="Picture 60">
          <a:extLst>
            <a:ext uri="{FF2B5EF4-FFF2-40B4-BE49-F238E27FC236}">
              <a16:creationId xmlns:a16="http://schemas.microsoft.com/office/drawing/2014/main" id="{B6D4E73A-0FCE-47D5-9CEB-56415C84DCC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122900" y="50165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0</xdr:colOff>
      <xdr:row>28</xdr:row>
      <xdr:rowOff>0</xdr:rowOff>
    </xdr:from>
    <xdr:to>
      <xdr:col>49</xdr:col>
      <xdr:colOff>137160</xdr:colOff>
      <xdr:row>51</xdr:row>
      <xdr:rowOff>15240</xdr:rowOff>
    </xdr:to>
    <xdr:pic>
      <xdr:nvPicPr>
        <xdr:cNvPr id="62" name="Picture 61">
          <a:extLst>
            <a:ext uri="{FF2B5EF4-FFF2-40B4-BE49-F238E27FC236}">
              <a16:creationId xmlns:a16="http://schemas.microsoft.com/office/drawing/2014/main" id="{A431C142-F180-4233-A929-7DC6D0F2940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4384000" y="5120640"/>
          <a:ext cx="562356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114300</xdr:colOff>
      <xdr:row>27</xdr:row>
      <xdr:rowOff>139700</xdr:rowOff>
    </xdr:from>
    <xdr:to>
      <xdr:col>58</xdr:col>
      <xdr:colOff>228600</xdr:colOff>
      <xdr:row>51</xdr:row>
      <xdr:rowOff>38100</xdr:rowOff>
    </xdr:to>
    <xdr:pic>
      <xdr:nvPicPr>
        <xdr:cNvPr id="63" name="Picture 62">
          <a:extLst>
            <a:ext uri="{FF2B5EF4-FFF2-40B4-BE49-F238E27FC236}">
              <a16:creationId xmlns:a16="http://schemas.microsoft.com/office/drawing/2014/main" id="{98CCB7BF-9351-48A9-91A4-71475DC7241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9984700" y="4940300"/>
          <a:ext cx="560070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431800</xdr:colOff>
      <xdr:row>28</xdr:row>
      <xdr:rowOff>12700</xdr:rowOff>
    </xdr:from>
    <xdr:to>
      <xdr:col>67</xdr:col>
      <xdr:colOff>523240</xdr:colOff>
      <xdr:row>51</xdr:row>
      <xdr:rowOff>27940</xdr:rowOff>
    </xdr:to>
    <xdr:pic>
      <xdr:nvPicPr>
        <xdr:cNvPr id="64" name="Picture 63">
          <a:extLst>
            <a:ext uri="{FF2B5EF4-FFF2-40B4-BE49-F238E27FC236}">
              <a16:creationId xmlns:a16="http://schemas.microsoft.com/office/drawing/2014/main" id="{33A4E726-706F-4DF6-98AE-9BB2F084CBC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5788600" y="49911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28</xdr:row>
      <xdr:rowOff>0</xdr:rowOff>
    </xdr:from>
    <xdr:to>
      <xdr:col>77</xdr:col>
      <xdr:colOff>220980</xdr:colOff>
      <xdr:row>51</xdr:row>
      <xdr:rowOff>15240</xdr:rowOff>
    </xdr:to>
    <xdr:pic>
      <xdr:nvPicPr>
        <xdr:cNvPr id="65" name="Picture 64">
          <a:extLst>
            <a:ext uri="{FF2B5EF4-FFF2-40B4-BE49-F238E27FC236}">
              <a16:creationId xmlns:a16="http://schemas.microsoft.com/office/drawing/2014/main" id="{B11F0CA2-BDE4-46BA-B4A0-239C613DFD4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1452800" y="5120640"/>
          <a:ext cx="57073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77</xdr:col>
      <xdr:colOff>419100</xdr:colOff>
      <xdr:row>28</xdr:row>
      <xdr:rowOff>12700</xdr:rowOff>
    </xdr:from>
    <xdr:to>
      <xdr:col>86</xdr:col>
      <xdr:colOff>586740</xdr:colOff>
      <xdr:row>51</xdr:row>
      <xdr:rowOff>27940</xdr:rowOff>
    </xdr:to>
    <xdr:pic>
      <xdr:nvPicPr>
        <xdr:cNvPr id="66" name="Picture 65">
          <a:extLst>
            <a:ext uri="{FF2B5EF4-FFF2-40B4-BE49-F238E27FC236}">
              <a16:creationId xmlns:a16="http://schemas.microsoft.com/office/drawing/2014/main" id="{604B6182-F6E1-4840-B47E-73AD3990F3D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7358300" y="4991100"/>
          <a:ext cx="56540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0</xdr:colOff>
      <xdr:row>28</xdr:row>
      <xdr:rowOff>0</xdr:rowOff>
    </xdr:from>
    <xdr:to>
      <xdr:col>97</xdr:col>
      <xdr:colOff>335280</xdr:colOff>
      <xdr:row>51</xdr:row>
      <xdr:rowOff>15240</xdr:rowOff>
    </xdr:to>
    <xdr:pic>
      <xdr:nvPicPr>
        <xdr:cNvPr id="67" name="Picture 66">
          <a:extLst>
            <a:ext uri="{FF2B5EF4-FFF2-40B4-BE49-F238E27FC236}">
              <a16:creationId xmlns:a16="http://schemas.microsoft.com/office/drawing/2014/main" id="{0BF92A0E-BC36-467B-B254-EE1367E4C1F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3644800" y="5120640"/>
          <a:ext cx="58216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0</xdr:colOff>
      <xdr:row>28</xdr:row>
      <xdr:rowOff>0</xdr:rowOff>
    </xdr:from>
    <xdr:to>
      <xdr:col>107</xdr:col>
      <xdr:colOff>335280</xdr:colOff>
      <xdr:row>51</xdr:row>
      <xdr:rowOff>15240</xdr:rowOff>
    </xdr:to>
    <xdr:pic>
      <xdr:nvPicPr>
        <xdr:cNvPr id="68" name="Picture 67">
          <a:extLst>
            <a:ext uri="{FF2B5EF4-FFF2-40B4-BE49-F238E27FC236}">
              <a16:creationId xmlns:a16="http://schemas.microsoft.com/office/drawing/2014/main" id="{00DB03BB-DE38-4F10-A520-DBBAA955CA4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9740800" y="5120640"/>
          <a:ext cx="58216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368300</xdr:colOff>
      <xdr:row>2</xdr:row>
      <xdr:rowOff>33858</xdr:rowOff>
    </xdr:from>
    <xdr:to>
      <xdr:col>10</xdr:col>
      <xdr:colOff>241300</xdr:colOff>
      <xdr:row>24</xdr:row>
      <xdr:rowOff>2540</xdr:rowOff>
    </xdr:to>
    <xdr:pic>
      <xdr:nvPicPr>
        <xdr:cNvPr id="35" name="Picture 34">
          <a:extLst>
            <a:ext uri="{FF2B5EF4-FFF2-40B4-BE49-F238E27FC236}">
              <a16:creationId xmlns:a16="http://schemas.microsoft.com/office/drawing/2014/main" id="{98227866-D7CB-4283-AB69-E81F17E49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389458"/>
          <a:ext cx="5359400" cy="3880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342900</xdr:colOff>
      <xdr:row>2</xdr:row>
      <xdr:rowOff>0</xdr:rowOff>
    </xdr:from>
    <xdr:to>
      <xdr:col>19</xdr:col>
      <xdr:colOff>434340</xdr:colOff>
      <xdr:row>25</xdr:row>
      <xdr:rowOff>15240</xdr:rowOff>
    </xdr:to>
    <xdr:pic>
      <xdr:nvPicPr>
        <xdr:cNvPr id="36" name="Picture 35">
          <a:extLst>
            <a:ext uri="{FF2B5EF4-FFF2-40B4-BE49-F238E27FC236}">
              <a16:creationId xmlns:a16="http://schemas.microsoft.com/office/drawing/2014/main" id="{FE6A6BA4-CEF5-4797-8C9C-EBC0A2E069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38900" y="3556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431800</xdr:colOff>
      <xdr:row>1</xdr:row>
      <xdr:rowOff>165100</xdr:rowOff>
    </xdr:from>
    <xdr:to>
      <xdr:col>29</xdr:col>
      <xdr:colOff>393700</xdr:colOff>
      <xdr:row>25</xdr:row>
      <xdr:rowOff>2540</xdr:rowOff>
    </xdr:to>
    <xdr:pic>
      <xdr:nvPicPr>
        <xdr:cNvPr id="37" name="Picture 36">
          <a:extLst>
            <a:ext uri="{FF2B5EF4-FFF2-40B4-BE49-F238E27FC236}">
              <a16:creationId xmlns:a16="http://schemas.microsoft.com/office/drawing/2014/main" id="{A9AFD55B-9370-450A-B5AE-60A1C0D74D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623800" y="342900"/>
          <a:ext cx="54483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495300</xdr:colOff>
      <xdr:row>2</xdr:row>
      <xdr:rowOff>0</xdr:rowOff>
    </xdr:from>
    <xdr:to>
      <xdr:col>39</xdr:col>
      <xdr:colOff>399678</xdr:colOff>
      <xdr:row>24</xdr:row>
      <xdr:rowOff>114300</xdr:rowOff>
    </xdr:to>
    <xdr:pic>
      <xdr:nvPicPr>
        <xdr:cNvPr id="38" name="Picture 37">
          <a:extLst>
            <a:ext uri="{FF2B5EF4-FFF2-40B4-BE49-F238E27FC236}">
              <a16:creationId xmlns:a16="http://schemas.microsoft.com/office/drawing/2014/main" id="{267F9C5D-D3D2-492A-AB75-AFE8096216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83300" y="355600"/>
          <a:ext cx="5390778" cy="402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469900</xdr:colOff>
      <xdr:row>2</xdr:row>
      <xdr:rowOff>0</xdr:rowOff>
    </xdr:from>
    <xdr:to>
      <xdr:col>49</xdr:col>
      <xdr:colOff>431800</xdr:colOff>
      <xdr:row>25</xdr:row>
      <xdr:rowOff>15240</xdr:rowOff>
    </xdr:to>
    <xdr:pic>
      <xdr:nvPicPr>
        <xdr:cNvPr id="39" name="Picture 38">
          <a:extLst>
            <a:ext uri="{FF2B5EF4-FFF2-40B4-BE49-F238E27FC236}">
              <a16:creationId xmlns:a16="http://schemas.microsoft.com/office/drawing/2014/main" id="{DCE08DC2-F92B-46F4-A8FE-BCDA3EFB83E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853900" y="355600"/>
          <a:ext cx="54483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533400</xdr:colOff>
      <xdr:row>2</xdr:row>
      <xdr:rowOff>25400</xdr:rowOff>
    </xdr:from>
    <xdr:to>
      <xdr:col>58</xdr:col>
      <xdr:colOff>426720</xdr:colOff>
      <xdr:row>25</xdr:row>
      <xdr:rowOff>40640</xdr:rowOff>
    </xdr:to>
    <xdr:pic>
      <xdr:nvPicPr>
        <xdr:cNvPr id="40" name="Picture 39">
          <a:extLst>
            <a:ext uri="{FF2B5EF4-FFF2-40B4-BE49-F238E27FC236}">
              <a16:creationId xmlns:a16="http://schemas.microsoft.com/office/drawing/2014/main" id="{A035ED36-4E9E-45A3-B3DE-0B60C418E43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03800" y="381000"/>
          <a:ext cx="53797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304800</xdr:colOff>
      <xdr:row>2</xdr:row>
      <xdr:rowOff>25400</xdr:rowOff>
    </xdr:from>
    <xdr:to>
      <xdr:col>68</xdr:col>
      <xdr:colOff>220980</xdr:colOff>
      <xdr:row>25</xdr:row>
      <xdr:rowOff>40640</xdr:rowOff>
    </xdr:to>
    <xdr:pic>
      <xdr:nvPicPr>
        <xdr:cNvPr id="41" name="Picture 40">
          <a:extLst>
            <a:ext uri="{FF2B5EF4-FFF2-40B4-BE49-F238E27FC236}">
              <a16:creationId xmlns:a16="http://schemas.microsoft.com/office/drawing/2014/main" id="{4D4D1759-F977-4C45-A42A-8ED57E572D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271200" y="381000"/>
          <a:ext cx="54025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508000</xdr:colOff>
      <xdr:row>2</xdr:row>
      <xdr:rowOff>0</xdr:rowOff>
    </xdr:from>
    <xdr:to>
      <xdr:col>77</xdr:col>
      <xdr:colOff>553720</xdr:colOff>
      <xdr:row>25</xdr:row>
      <xdr:rowOff>15240</xdr:rowOff>
    </xdr:to>
    <xdr:pic>
      <xdr:nvPicPr>
        <xdr:cNvPr id="42" name="Picture 41">
          <a:extLst>
            <a:ext uri="{FF2B5EF4-FFF2-40B4-BE49-F238E27FC236}">
              <a16:creationId xmlns:a16="http://schemas.microsoft.com/office/drawing/2014/main" id="{400C9E10-5134-460A-8D4F-DC03743155A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1960800" y="355600"/>
          <a:ext cx="55321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304800</xdr:colOff>
      <xdr:row>2</xdr:row>
      <xdr:rowOff>38100</xdr:rowOff>
    </xdr:from>
    <xdr:to>
      <xdr:col>87</xdr:col>
      <xdr:colOff>297180</xdr:colOff>
      <xdr:row>25</xdr:row>
      <xdr:rowOff>53340</xdr:rowOff>
    </xdr:to>
    <xdr:pic>
      <xdr:nvPicPr>
        <xdr:cNvPr id="43" name="Picture 42">
          <a:extLst>
            <a:ext uri="{FF2B5EF4-FFF2-40B4-BE49-F238E27FC236}">
              <a16:creationId xmlns:a16="http://schemas.microsoft.com/office/drawing/2014/main" id="{54FD0ECC-77E1-42FE-9FCC-4784F1443A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853600" y="393700"/>
          <a:ext cx="54787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431800</xdr:colOff>
      <xdr:row>2</xdr:row>
      <xdr:rowOff>0</xdr:rowOff>
    </xdr:from>
    <xdr:to>
      <xdr:col>98</xdr:col>
      <xdr:colOff>27940</xdr:colOff>
      <xdr:row>25</xdr:row>
      <xdr:rowOff>15240</xdr:rowOff>
    </xdr:to>
    <xdr:pic>
      <xdr:nvPicPr>
        <xdr:cNvPr id="44" name="Picture 43">
          <a:extLst>
            <a:ext uri="{FF2B5EF4-FFF2-40B4-BE49-F238E27FC236}">
              <a16:creationId xmlns:a16="http://schemas.microsoft.com/office/drawing/2014/main" id="{8137D239-8123-4B3B-9BFB-092DB9A58A0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076600" y="355600"/>
          <a:ext cx="56921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99</xdr:col>
      <xdr:colOff>0</xdr:colOff>
      <xdr:row>2</xdr:row>
      <xdr:rowOff>0</xdr:rowOff>
    </xdr:from>
    <xdr:to>
      <xdr:col>108</xdr:col>
      <xdr:colOff>205740</xdr:colOff>
      <xdr:row>25</xdr:row>
      <xdr:rowOff>15240</xdr:rowOff>
    </xdr:to>
    <xdr:pic>
      <xdr:nvPicPr>
        <xdr:cNvPr id="45" name="Picture 44">
          <a:extLst>
            <a:ext uri="{FF2B5EF4-FFF2-40B4-BE49-F238E27FC236}">
              <a16:creationId xmlns:a16="http://schemas.microsoft.com/office/drawing/2014/main" id="{D06E7476-1D1F-4CDA-8D4C-90F8F3C84F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0" y="365760"/>
          <a:ext cx="56921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10</xdr:col>
      <xdr:colOff>266700</xdr:colOff>
      <xdr:row>51</xdr:row>
      <xdr:rowOff>15240</xdr:rowOff>
    </xdr:to>
    <xdr:pic>
      <xdr:nvPicPr>
        <xdr:cNvPr id="48" name="Picture 47">
          <a:extLst>
            <a:ext uri="{FF2B5EF4-FFF2-40B4-BE49-F238E27FC236}">
              <a16:creationId xmlns:a16="http://schemas.microsoft.com/office/drawing/2014/main" id="{C694AAF6-A142-41A7-BD22-017E26FEE4E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5120640"/>
          <a:ext cx="57531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469900</xdr:colOff>
      <xdr:row>28</xdr:row>
      <xdr:rowOff>25400</xdr:rowOff>
    </xdr:from>
    <xdr:to>
      <xdr:col>20</xdr:col>
      <xdr:colOff>127000</xdr:colOff>
      <xdr:row>51</xdr:row>
      <xdr:rowOff>40640</xdr:rowOff>
    </xdr:to>
    <xdr:pic>
      <xdr:nvPicPr>
        <xdr:cNvPr id="49" name="Picture 48">
          <a:extLst>
            <a:ext uri="{FF2B5EF4-FFF2-40B4-BE49-F238E27FC236}">
              <a16:creationId xmlns:a16="http://schemas.microsoft.com/office/drawing/2014/main" id="{97DE56F0-ADF8-4BDB-8E12-BC3E38B7221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65900" y="50038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355600</xdr:colOff>
      <xdr:row>28</xdr:row>
      <xdr:rowOff>0</xdr:rowOff>
    </xdr:from>
    <xdr:to>
      <xdr:col>29</xdr:col>
      <xdr:colOff>492760</xdr:colOff>
      <xdr:row>51</xdr:row>
      <xdr:rowOff>15240</xdr:rowOff>
    </xdr:to>
    <xdr:pic>
      <xdr:nvPicPr>
        <xdr:cNvPr id="50" name="Picture 49">
          <a:extLst>
            <a:ext uri="{FF2B5EF4-FFF2-40B4-BE49-F238E27FC236}">
              <a16:creationId xmlns:a16="http://schemas.microsoft.com/office/drawing/2014/main" id="{A6620EED-79EF-4EE6-AFBA-8468CC60117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47600" y="4978400"/>
          <a:ext cx="562356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330200</xdr:colOff>
      <xdr:row>28</xdr:row>
      <xdr:rowOff>63500</xdr:rowOff>
    </xdr:from>
    <xdr:to>
      <xdr:col>39</xdr:col>
      <xdr:colOff>596900</xdr:colOff>
      <xdr:row>51</xdr:row>
      <xdr:rowOff>78740</xdr:rowOff>
    </xdr:to>
    <xdr:pic>
      <xdr:nvPicPr>
        <xdr:cNvPr id="51" name="Picture 50">
          <a:extLst>
            <a:ext uri="{FF2B5EF4-FFF2-40B4-BE49-F238E27FC236}">
              <a16:creationId xmlns:a16="http://schemas.microsoft.com/office/drawing/2014/main" id="{8CE1ED6F-00B8-4D1D-9F10-01353D051CD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618200" y="5041900"/>
          <a:ext cx="57531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444500</xdr:colOff>
      <xdr:row>28</xdr:row>
      <xdr:rowOff>25400</xdr:rowOff>
    </xdr:from>
    <xdr:to>
      <xdr:col>49</xdr:col>
      <xdr:colOff>581660</xdr:colOff>
      <xdr:row>51</xdr:row>
      <xdr:rowOff>40640</xdr:rowOff>
    </xdr:to>
    <xdr:pic>
      <xdr:nvPicPr>
        <xdr:cNvPr id="52" name="Picture 51">
          <a:extLst>
            <a:ext uri="{FF2B5EF4-FFF2-40B4-BE49-F238E27FC236}">
              <a16:creationId xmlns:a16="http://schemas.microsoft.com/office/drawing/2014/main" id="{D717FC6A-23CA-4006-9BD7-CA703610CA3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828500" y="5003800"/>
          <a:ext cx="562356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28</xdr:row>
      <xdr:rowOff>0</xdr:rowOff>
    </xdr:from>
    <xdr:to>
      <xdr:col>59</xdr:col>
      <xdr:colOff>114300</xdr:colOff>
      <xdr:row>51</xdr:row>
      <xdr:rowOff>15240</xdr:rowOff>
    </xdr:to>
    <xdr:pic>
      <xdr:nvPicPr>
        <xdr:cNvPr id="53" name="Picture 52">
          <a:extLst>
            <a:ext uri="{FF2B5EF4-FFF2-40B4-BE49-F238E27FC236}">
              <a16:creationId xmlns:a16="http://schemas.microsoft.com/office/drawing/2014/main" id="{F3A643A1-407A-4ED4-83A7-92473F4DA4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480000" y="5120640"/>
          <a:ext cx="56007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431800</xdr:colOff>
      <xdr:row>28</xdr:row>
      <xdr:rowOff>25400</xdr:rowOff>
    </xdr:from>
    <xdr:to>
      <xdr:col>68</xdr:col>
      <xdr:colOff>591820</xdr:colOff>
      <xdr:row>51</xdr:row>
      <xdr:rowOff>40640</xdr:rowOff>
    </xdr:to>
    <xdr:pic>
      <xdr:nvPicPr>
        <xdr:cNvPr id="54" name="Picture 53">
          <a:extLst>
            <a:ext uri="{FF2B5EF4-FFF2-40B4-BE49-F238E27FC236}">
              <a16:creationId xmlns:a16="http://schemas.microsoft.com/office/drawing/2014/main" id="{51CFBEA0-AF2F-4521-9C9F-E8DA678958B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6398200" y="5003800"/>
          <a:ext cx="56464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28</xdr:row>
      <xdr:rowOff>0</xdr:rowOff>
    </xdr:from>
    <xdr:to>
      <xdr:col>78</xdr:col>
      <xdr:colOff>220980</xdr:colOff>
      <xdr:row>51</xdr:row>
      <xdr:rowOff>15240</xdr:rowOff>
    </xdr:to>
    <xdr:pic>
      <xdr:nvPicPr>
        <xdr:cNvPr id="55" name="Picture 54">
          <a:extLst>
            <a:ext uri="{FF2B5EF4-FFF2-40B4-BE49-F238E27FC236}">
              <a16:creationId xmlns:a16="http://schemas.microsoft.com/office/drawing/2014/main" id="{DE7A3166-455E-4BD5-9C76-304347F91EA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2062400" y="5120640"/>
          <a:ext cx="57073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28</xdr:row>
      <xdr:rowOff>0</xdr:rowOff>
    </xdr:from>
    <xdr:to>
      <xdr:col>88</xdr:col>
      <xdr:colOff>167640</xdr:colOff>
      <xdr:row>51</xdr:row>
      <xdr:rowOff>15240</xdr:rowOff>
    </xdr:to>
    <xdr:pic>
      <xdr:nvPicPr>
        <xdr:cNvPr id="56" name="Picture 55">
          <a:extLst>
            <a:ext uri="{FF2B5EF4-FFF2-40B4-BE49-F238E27FC236}">
              <a16:creationId xmlns:a16="http://schemas.microsoft.com/office/drawing/2014/main" id="{CD15BFAA-89D4-477C-9DC0-61D5CA14AD5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158400" y="5120640"/>
          <a:ext cx="56540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88</xdr:col>
      <xdr:colOff>393700</xdr:colOff>
      <xdr:row>28</xdr:row>
      <xdr:rowOff>12700</xdr:rowOff>
    </xdr:from>
    <xdr:to>
      <xdr:col>98</xdr:col>
      <xdr:colOff>165100</xdr:colOff>
      <xdr:row>51</xdr:row>
      <xdr:rowOff>27940</xdr:rowOff>
    </xdr:to>
    <xdr:pic>
      <xdr:nvPicPr>
        <xdr:cNvPr id="57" name="Picture 56">
          <a:extLst>
            <a:ext uri="{FF2B5EF4-FFF2-40B4-BE49-F238E27FC236}">
              <a16:creationId xmlns:a16="http://schemas.microsoft.com/office/drawing/2014/main" id="{30992D50-1466-4AF4-ACE1-C40464A9F12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4038500" y="4991100"/>
          <a:ext cx="586740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444500</xdr:colOff>
      <xdr:row>28</xdr:row>
      <xdr:rowOff>12700</xdr:rowOff>
    </xdr:from>
    <xdr:to>
      <xdr:col>108</xdr:col>
      <xdr:colOff>261620</xdr:colOff>
      <xdr:row>51</xdr:row>
      <xdr:rowOff>27940</xdr:rowOff>
    </xdr:to>
    <xdr:pic>
      <xdr:nvPicPr>
        <xdr:cNvPr id="58" name="Picture 57">
          <a:extLst>
            <a:ext uri="{FF2B5EF4-FFF2-40B4-BE49-F238E27FC236}">
              <a16:creationId xmlns:a16="http://schemas.microsoft.com/office/drawing/2014/main" id="{3CC6BAF9-422D-4E98-8521-71E099BF50E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185300" y="4991100"/>
          <a:ext cx="591312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55</xdr:row>
      <xdr:rowOff>25400</xdr:rowOff>
    </xdr:from>
    <xdr:to>
      <xdr:col>10</xdr:col>
      <xdr:colOff>281940</xdr:colOff>
      <xdr:row>78</xdr:row>
      <xdr:rowOff>40640</xdr:rowOff>
    </xdr:to>
    <xdr:pic>
      <xdr:nvPicPr>
        <xdr:cNvPr id="59" name="Picture 58">
          <a:extLst>
            <a:ext uri="{FF2B5EF4-FFF2-40B4-BE49-F238E27FC236}">
              <a16:creationId xmlns:a16="http://schemas.microsoft.com/office/drawing/2014/main" id="{DDA3D184-4C90-4F8E-9932-1E149634C27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00100" y="98044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469900</xdr:colOff>
      <xdr:row>55</xdr:row>
      <xdr:rowOff>12700</xdr:rowOff>
    </xdr:from>
    <xdr:to>
      <xdr:col>19</xdr:col>
      <xdr:colOff>561340</xdr:colOff>
      <xdr:row>78</xdr:row>
      <xdr:rowOff>27940</xdr:rowOff>
    </xdr:to>
    <xdr:pic>
      <xdr:nvPicPr>
        <xdr:cNvPr id="60" name="Picture 59">
          <a:extLst>
            <a:ext uri="{FF2B5EF4-FFF2-40B4-BE49-F238E27FC236}">
              <a16:creationId xmlns:a16="http://schemas.microsoft.com/office/drawing/2014/main" id="{E347039D-C4A4-4151-B1EF-B3F130F0531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565900" y="9791700"/>
          <a:ext cx="55778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469900</xdr:colOff>
      <xdr:row>55</xdr:row>
      <xdr:rowOff>38100</xdr:rowOff>
    </xdr:from>
    <xdr:to>
      <xdr:col>29</xdr:col>
      <xdr:colOff>408940</xdr:colOff>
      <xdr:row>78</xdr:row>
      <xdr:rowOff>53340</xdr:rowOff>
    </xdr:to>
    <xdr:pic>
      <xdr:nvPicPr>
        <xdr:cNvPr id="61" name="Picture 60">
          <a:extLst>
            <a:ext uri="{FF2B5EF4-FFF2-40B4-BE49-F238E27FC236}">
              <a16:creationId xmlns:a16="http://schemas.microsoft.com/office/drawing/2014/main" id="{98535459-068B-4A7A-87E2-B63EA0E262D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661900" y="9817100"/>
          <a:ext cx="542544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55</xdr:row>
      <xdr:rowOff>0</xdr:rowOff>
    </xdr:from>
    <xdr:to>
      <xdr:col>40</xdr:col>
      <xdr:colOff>91440</xdr:colOff>
      <xdr:row>78</xdr:row>
      <xdr:rowOff>15240</xdr:rowOff>
    </xdr:to>
    <xdr:pic>
      <xdr:nvPicPr>
        <xdr:cNvPr id="62" name="Picture 61">
          <a:extLst>
            <a:ext uri="{FF2B5EF4-FFF2-40B4-BE49-F238E27FC236}">
              <a16:creationId xmlns:a16="http://schemas.microsoft.com/office/drawing/2014/main" id="{0BE257A1-E69E-4EE4-ADD4-907B4786FC6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897600" y="10058400"/>
          <a:ext cx="55778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55</xdr:row>
      <xdr:rowOff>0</xdr:rowOff>
    </xdr:from>
    <xdr:to>
      <xdr:col>49</xdr:col>
      <xdr:colOff>571500</xdr:colOff>
      <xdr:row>78</xdr:row>
      <xdr:rowOff>15240</xdr:rowOff>
    </xdr:to>
    <xdr:pic>
      <xdr:nvPicPr>
        <xdr:cNvPr id="63" name="Picture 62">
          <a:extLst>
            <a:ext uri="{FF2B5EF4-FFF2-40B4-BE49-F238E27FC236}">
              <a16:creationId xmlns:a16="http://schemas.microsoft.com/office/drawing/2014/main" id="{00916762-428D-4C47-8880-57BD6727EA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4993600" y="10058400"/>
          <a:ext cx="544830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58</xdr:col>
      <xdr:colOff>548640</xdr:colOff>
      <xdr:row>78</xdr:row>
      <xdr:rowOff>15240</xdr:rowOff>
    </xdr:to>
    <xdr:pic>
      <xdr:nvPicPr>
        <xdr:cNvPr id="64" name="Picture 63">
          <a:extLst>
            <a:ext uri="{FF2B5EF4-FFF2-40B4-BE49-F238E27FC236}">
              <a16:creationId xmlns:a16="http://schemas.microsoft.com/office/drawing/2014/main" id="{CD2CB25D-2AC1-4D1E-96B3-43E54B5ADCD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0480000" y="10058400"/>
          <a:ext cx="54254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393700</xdr:colOff>
      <xdr:row>54</xdr:row>
      <xdr:rowOff>165100</xdr:rowOff>
    </xdr:from>
    <xdr:to>
      <xdr:col>68</xdr:col>
      <xdr:colOff>309880</xdr:colOff>
      <xdr:row>78</xdr:row>
      <xdr:rowOff>2540</xdr:rowOff>
    </xdr:to>
    <xdr:pic>
      <xdr:nvPicPr>
        <xdr:cNvPr id="65" name="Picture 64">
          <a:extLst>
            <a:ext uri="{FF2B5EF4-FFF2-40B4-BE49-F238E27FC236}">
              <a16:creationId xmlns:a16="http://schemas.microsoft.com/office/drawing/2014/main" id="{AB58E5E1-6C1A-4AA1-8D31-2FD2C0FF945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6360100" y="9766300"/>
          <a:ext cx="5402580" cy="410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55</xdr:row>
      <xdr:rowOff>0</xdr:rowOff>
    </xdr:from>
    <xdr:to>
      <xdr:col>78</xdr:col>
      <xdr:colOff>45720</xdr:colOff>
      <xdr:row>78</xdr:row>
      <xdr:rowOff>15240</xdr:rowOff>
    </xdr:to>
    <xdr:pic>
      <xdr:nvPicPr>
        <xdr:cNvPr id="66" name="Picture 65">
          <a:extLst>
            <a:ext uri="{FF2B5EF4-FFF2-40B4-BE49-F238E27FC236}">
              <a16:creationId xmlns:a16="http://schemas.microsoft.com/office/drawing/2014/main" id="{514A5443-9871-429E-B41B-60AAC6B544D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2062400" y="10058400"/>
          <a:ext cx="553212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55</xdr:row>
      <xdr:rowOff>0</xdr:rowOff>
    </xdr:from>
    <xdr:to>
      <xdr:col>87</xdr:col>
      <xdr:colOff>601980</xdr:colOff>
      <xdr:row>78</xdr:row>
      <xdr:rowOff>15240</xdr:rowOff>
    </xdr:to>
    <xdr:pic>
      <xdr:nvPicPr>
        <xdr:cNvPr id="67" name="Picture 66">
          <a:extLst>
            <a:ext uri="{FF2B5EF4-FFF2-40B4-BE49-F238E27FC236}">
              <a16:creationId xmlns:a16="http://schemas.microsoft.com/office/drawing/2014/main" id="{01ACB724-CF82-45E2-9CCB-02380DEE8AA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8158400" y="10058400"/>
          <a:ext cx="547878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89</xdr:col>
      <xdr:colOff>0</xdr:colOff>
      <xdr:row>55</xdr:row>
      <xdr:rowOff>0</xdr:rowOff>
    </xdr:from>
    <xdr:to>
      <xdr:col>98</xdr:col>
      <xdr:colOff>160020</xdr:colOff>
      <xdr:row>78</xdr:row>
      <xdr:rowOff>15240</xdr:rowOff>
    </xdr:to>
    <xdr:pic>
      <xdr:nvPicPr>
        <xdr:cNvPr id="68" name="Picture 67">
          <a:extLst>
            <a:ext uri="{FF2B5EF4-FFF2-40B4-BE49-F238E27FC236}">
              <a16:creationId xmlns:a16="http://schemas.microsoft.com/office/drawing/2014/main" id="{3D9C4B64-20BA-45F1-8FAB-BC12E379AFD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4254400" y="10058400"/>
          <a:ext cx="564642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99</xdr:col>
      <xdr:colOff>0</xdr:colOff>
      <xdr:row>55</xdr:row>
      <xdr:rowOff>0</xdr:rowOff>
    </xdr:from>
    <xdr:to>
      <xdr:col>108</xdr:col>
      <xdr:colOff>205740</xdr:colOff>
      <xdr:row>78</xdr:row>
      <xdr:rowOff>15240</xdr:rowOff>
    </xdr:to>
    <xdr:pic>
      <xdr:nvPicPr>
        <xdr:cNvPr id="69" name="Picture 68">
          <a:extLst>
            <a:ext uri="{FF2B5EF4-FFF2-40B4-BE49-F238E27FC236}">
              <a16:creationId xmlns:a16="http://schemas.microsoft.com/office/drawing/2014/main" id="{7AA0FD06-81A6-43A6-B4E7-D1A83AEF945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350400" y="10058400"/>
          <a:ext cx="5692140" cy="4221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502920</xdr:colOff>
      <xdr:row>0</xdr:row>
      <xdr:rowOff>45720</xdr:rowOff>
    </xdr:from>
    <xdr:to>
      <xdr:col>7</xdr:col>
      <xdr:colOff>701500</xdr:colOff>
      <xdr:row>25</xdr:row>
      <xdr:rowOff>76599</xdr:rowOff>
    </xdr:to>
    <xdr:pic>
      <xdr:nvPicPr>
        <xdr:cNvPr id="3" name="Picture 2">
          <a:extLst>
            <a:ext uri="{FF2B5EF4-FFF2-40B4-BE49-F238E27FC236}">
              <a16:creationId xmlns:a16="http://schemas.microsoft.com/office/drawing/2014/main" id="{47FED998-24B7-4F72-B473-75561818C4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2920" y="45720"/>
          <a:ext cx="5303980" cy="46028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BC462-2793-456B-8B76-533C44A34DA5}">
  <sheetPr>
    <tabColor rgb="FFFFC000"/>
  </sheetPr>
  <dimension ref="A1:BI318"/>
  <sheetViews>
    <sheetView topLeftCell="A251" zoomScale="60" zoomScaleNormal="60" workbookViewId="0">
      <selection activeCell="T291" sqref="T291"/>
    </sheetView>
  </sheetViews>
  <sheetFormatPr defaultRowHeight="14.4" x14ac:dyDescent="0.3"/>
  <cols>
    <col min="1" max="1" width="15.88671875" customWidth="1"/>
    <col min="2" max="2" width="11.33203125" customWidth="1"/>
    <col min="3" max="3" width="19.77734375" customWidth="1"/>
    <col min="14" max="14" width="25.77734375" customWidth="1"/>
    <col min="15" max="15" width="19.77734375" customWidth="1"/>
    <col min="16" max="16" width="12.44140625" customWidth="1"/>
    <col min="17" max="17" width="10.21875" customWidth="1"/>
    <col min="18" max="18" width="13" customWidth="1"/>
    <col min="19" max="19" width="18.6640625" customWidth="1"/>
    <col min="20" max="20" width="27.6640625" customWidth="1"/>
    <col min="21" max="21" width="12.109375" customWidth="1"/>
    <col min="22" max="22" width="13.6640625" customWidth="1"/>
    <col min="23" max="24" width="11" customWidth="1"/>
    <col min="25" max="25" width="11.21875" customWidth="1"/>
    <col min="26" max="26" width="17.77734375" customWidth="1"/>
    <col min="27" max="27" width="14.21875" customWidth="1"/>
    <col min="28" max="28" width="7.21875" customWidth="1"/>
    <col min="29" max="29" width="6.77734375" customWidth="1"/>
    <col min="30" max="30" width="7.77734375" customWidth="1"/>
    <col min="39" max="39" width="12.21875" customWidth="1"/>
    <col min="42" max="42" width="13.21875" customWidth="1"/>
    <col min="43" max="43" width="9.44140625" customWidth="1"/>
    <col min="50" max="50" width="10.33203125" customWidth="1"/>
    <col min="51" max="51" width="17.6640625" customWidth="1"/>
  </cols>
  <sheetData>
    <row r="1" spans="1:26" ht="15" thickBot="1" x14ac:dyDescent="0.35"/>
    <row r="2" spans="1:26" x14ac:dyDescent="0.3">
      <c r="A2" s="225" t="s">
        <v>191</v>
      </c>
      <c r="B2" s="226"/>
      <c r="C2" s="226"/>
      <c r="D2" s="226"/>
      <c r="E2" s="226"/>
      <c r="F2" s="226"/>
      <c r="G2" s="226"/>
      <c r="H2" s="226"/>
      <c r="I2" s="226"/>
      <c r="J2" s="226"/>
      <c r="K2" s="226"/>
      <c r="L2" s="226"/>
      <c r="M2" s="226"/>
      <c r="N2" s="226"/>
      <c r="O2" s="226"/>
      <c r="P2" s="226"/>
      <c r="Q2" s="226"/>
      <c r="R2" s="226"/>
      <c r="S2" s="226"/>
      <c r="T2" s="226"/>
      <c r="U2" s="226"/>
      <c r="V2" s="226"/>
      <c r="W2" s="226"/>
      <c r="X2" s="226"/>
      <c r="Y2" s="226"/>
      <c r="Z2" s="234"/>
    </row>
    <row r="3" spans="1:26" ht="29.4" customHeight="1" x14ac:dyDescent="0.3">
      <c r="A3" s="227" t="s">
        <v>195</v>
      </c>
      <c r="B3" s="228"/>
      <c r="C3" s="228"/>
      <c r="D3" s="228"/>
      <c r="E3" s="228"/>
      <c r="F3" s="228"/>
      <c r="G3" s="228"/>
      <c r="H3" s="228"/>
      <c r="I3" s="228"/>
      <c r="J3" s="228"/>
      <c r="K3" s="228"/>
      <c r="L3" s="228"/>
      <c r="M3" s="228"/>
      <c r="N3" s="228"/>
      <c r="O3" s="209" t="s">
        <v>118</v>
      </c>
      <c r="P3" s="209" t="s">
        <v>140</v>
      </c>
      <c r="Q3" s="209" t="s">
        <v>141</v>
      </c>
      <c r="R3" s="209" t="s">
        <v>142</v>
      </c>
      <c r="S3" s="228"/>
      <c r="T3" s="228"/>
      <c r="U3" s="209" t="s">
        <v>118</v>
      </c>
      <c r="V3" s="209" t="s">
        <v>140</v>
      </c>
      <c r="W3" s="209" t="s">
        <v>141</v>
      </c>
      <c r="X3" s="209" t="s">
        <v>142</v>
      </c>
      <c r="Y3" s="228"/>
      <c r="Z3" s="235"/>
    </row>
    <row r="4" spans="1:26" ht="47.4" customHeight="1" x14ac:dyDescent="0.3">
      <c r="A4" s="229" t="s">
        <v>192</v>
      </c>
      <c r="B4" s="343" t="s">
        <v>205</v>
      </c>
      <c r="C4" s="343"/>
      <c r="D4" s="343"/>
      <c r="E4" s="343"/>
      <c r="F4" s="343"/>
      <c r="G4" s="343"/>
      <c r="H4" s="343"/>
      <c r="I4" s="343"/>
      <c r="J4" s="343"/>
      <c r="K4" s="343"/>
      <c r="L4" s="343"/>
      <c r="M4" s="228"/>
      <c r="N4" s="209" t="s">
        <v>197</v>
      </c>
      <c r="O4" s="208">
        <v>293.12209487147652</v>
      </c>
      <c r="P4" s="127">
        <v>269.7</v>
      </c>
      <c r="Q4" s="127">
        <v>274.8</v>
      </c>
      <c r="R4" s="127">
        <v>247.6</v>
      </c>
      <c r="S4" s="228"/>
      <c r="T4" s="209" t="s">
        <v>201</v>
      </c>
      <c r="U4" s="127">
        <v>265.32347369074</v>
      </c>
      <c r="V4" s="127">
        <v>243.9</v>
      </c>
      <c r="W4" s="127">
        <v>260.2</v>
      </c>
      <c r="X4" s="127">
        <v>231</v>
      </c>
      <c r="Y4" s="228"/>
      <c r="Z4" s="235"/>
    </row>
    <row r="5" spans="1:26" ht="53.4" customHeight="1" x14ac:dyDescent="0.3">
      <c r="A5" s="230" t="s">
        <v>193</v>
      </c>
      <c r="B5" s="343"/>
      <c r="C5" s="343"/>
      <c r="D5" s="343"/>
      <c r="E5" s="343"/>
      <c r="F5" s="343"/>
      <c r="G5" s="343"/>
      <c r="H5" s="343"/>
      <c r="I5" s="343"/>
      <c r="J5" s="343"/>
      <c r="K5" s="343"/>
      <c r="L5" s="343"/>
      <c r="M5" s="228"/>
      <c r="N5" s="209" t="s">
        <v>196</v>
      </c>
      <c r="O5" s="208">
        <v>317.52740035529621</v>
      </c>
      <c r="P5" s="127">
        <v>289.10000000000002</v>
      </c>
      <c r="Q5" s="127">
        <v>302.7</v>
      </c>
      <c r="R5" s="127">
        <v>262.39999999999998</v>
      </c>
      <c r="S5" s="228"/>
      <c r="T5" s="209" t="s">
        <v>202</v>
      </c>
      <c r="U5" s="127">
        <v>288.17741871038999</v>
      </c>
      <c r="V5" s="127">
        <v>262.7</v>
      </c>
      <c r="W5" s="127">
        <v>287.10000000000002</v>
      </c>
      <c r="X5" s="127">
        <v>247.4</v>
      </c>
      <c r="Y5" s="228"/>
      <c r="Z5" s="235"/>
    </row>
    <row r="6" spans="1:26" x14ac:dyDescent="0.3">
      <c r="A6" s="231"/>
      <c r="B6" s="228"/>
      <c r="C6" s="228"/>
      <c r="D6" s="228"/>
      <c r="E6" s="228"/>
      <c r="F6" s="228"/>
      <c r="G6" s="228"/>
      <c r="H6" s="228"/>
      <c r="I6" s="228"/>
      <c r="J6" s="228"/>
      <c r="K6" s="228"/>
      <c r="L6" s="228"/>
      <c r="M6" s="228"/>
      <c r="N6" s="239" t="s">
        <v>194</v>
      </c>
      <c r="O6" s="207">
        <f>O5-O4</f>
        <v>24.405305483819689</v>
      </c>
      <c r="P6" s="207">
        <f>P5-P4</f>
        <v>19.400000000000034</v>
      </c>
      <c r="Q6" s="207">
        <f t="shared" ref="Q6:R6" si="0">Q5-Q4</f>
        <v>27.899999999999977</v>
      </c>
      <c r="R6" s="207">
        <f t="shared" si="0"/>
        <v>14.799999999999983</v>
      </c>
      <c r="S6" s="228"/>
      <c r="T6" s="224" t="s">
        <v>194</v>
      </c>
      <c r="U6" s="207">
        <f>U5-U4</f>
        <v>22.853945019649984</v>
      </c>
      <c r="V6" s="207">
        <f>V5-V4</f>
        <v>18.799999999999983</v>
      </c>
      <c r="W6" s="207">
        <f t="shared" ref="W6" si="1">W5-W4</f>
        <v>26.900000000000034</v>
      </c>
      <c r="X6" s="207">
        <f t="shared" ref="X6" si="2">X5-X4</f>
        <v>16.400000000000006</v>
      </c>
      <c r="Y6" s="228"/>
      <c r="Z6" s="235"/>
    </row>
    <row r="7" spans="1:26" x14ac:dyDescent="0.3">
      <c r="A7" s="231"/>
      <c r="B7" s="228"/>
      <c r="C7" s="228"/>
      <c r="D7" s="228"/>
      <c r="E7" s="228"/>
      <c r="F7" s="228"/>
      <c r="G7" s="228"/>
      <c r="H7" s="228"/>
      <c r="I7" s="228"/>
      <c r="J7" s="228"/>
      <c r="K7" s="228"/>
      <c r="L7" s="228"/>
      <c r="M7" s="228"/>
      <c r="N7" s="228"/>
      <c r="O7" s="209" t="s">
        <v>118</v>
      </c>
      <c r="P7" s="209" t="s">
        <v>140</v>
      </c>
      <c r="Q7" s="209" t="s">
        <v>141</v>
      </c>
      <c r="R7" s="209" t="s">
        <v>142</v>
      </c>
      <c r="S7" s="228"/>
      <c r="T7" s="228"/>
      <c r="U7" s="209" t="s">
        <v>118</v>
      </c>
      <c r="V7" s="209" t="s">
        <v>140</v>
      </c>
      <c r="W7" s="209" t="s">
        <v>141</v>
      </c>
      <c r="X7" s="209" t="s">
        <v>142</v>
      </c>
      <c r="Y7" s="228"/>
      <c r="Z7" s="235"/>
    </row>
    <row r="8" spans="1:26" ht="27.6" x14ac:dyDescent="0.3">
      <c r="A8" s="231"/>
      <c r="B8" s="228"/>
      <c r="C8" s="228"/>
      <c r="D8" s="228"/>
      <c r="E8" s="228"/>
      <c r="F8" s="228"/>
      <c r="G8" s="228"/>
      <c r="H8" s="228"/>
      <c r="I8" s="228"/>
      <c r="J8" s="228"/>
      <c r="K8" s="228"/>
      <c r="L8" s="228"/>
      <c r="M8" s="228"/>
      <c r="N8" s="209" t="s">
        <v>198</v>
      </c>
      <c r="O8" s="207">
        <v>4023.0400641921001</v>
      </c>
      <c r="P8" s="127">
        <v>4049</v>
      </c>
      <c r="Q8" s="127">
        <v>4007</v>
      </c>
      <c r="R8" s="127">
        <v>4101</v>
      </c>
      <c r="S8" s="228"/>
      <c r="T8" s="209" t="s">
        <v>203</v>
      </c>
      <c r="U8" s="127">
        <v>1937.2268891053</v>
      </c>
      <c r="V8" s="127">
        <v>1899</v>
      </c>
      <c r="W8" s="127">
        <v>1739</v>
      </c>
      <c r="X8" s="127">
        <v>1757</v>
      </c>
      <c r="Y8" s="228"/>
      <c r="Z8" s="235"/>
    </row>
    <row r="9" spans="1:26" ht="27.6" x14ac:dyDescent="0.3">
      <c r="A9" s="231"/>
      <c r="B9" s="228"/>
      <c r="C9" s="228"/>
      <c r="D9" s="228"/>
      <c r="E9" s="228"/>
      <c r="F9" s="228"/>
      <c r="G9" s="228"/>
      <c r="H9" s="228"/>
      <c r="I9" s="228"/>
      <c r="J9" s="228"/>
      <c r="K9" s="228"/>
      <c r="L9" s="228"/>
      <c r="M9" s="228"/>
      <c r="N9" s="209" t="s">
        <v>199</v>
      </c>
      <c r="O9" s="207">
        <v>4861.6763761272996</v>
      </c>
      <c r="P9" s="127">
        <v>4906</v>
      </c>
      <c r="Q9" s="127">
        <v>4853</v>
      </c>
      <c r="R9" s="127">
        <v>4928</v>
      </c>
      <c r="S9" s="228"/>
      <c r="T9" s="209" t="s">
        <v>204</v>
      </c>
      <c r="U9" s="127">
        <v>2186.8859205581998</v>
      </c>
      <c r="V9" s="127">
        <v>2163</v>
      </c>
      <c r="W9" s="127">
        <v>1979</v>
      </c>
      <c r="X9" s="127">
        <v>1995</v>
      </c>
      <c r="Y9" s="228"/>
      <c r="Z9" s="235"/>
    </row>
    <row r="10" spans="1:26" x14ac:dyDescent="0.3">
      <c r="A10" s="231"/>
      <c r="B10" s="228"/>
      <c r="C10" s="228"/>
      <c r="D10" s="228"/>
      <c r="E10" s="228"/>
      <c r="F10" s="228"/>
      <c r="G10" s="228"/>
      <c r="H10" s="228"/>
      <c r="I10" s="228"/>
      <c r="J10" s="228"/>
      <c r="K10" s="228"/>
      <c r="L10" s="228"/>
      <c r="M10" s="228"/>
      <c r="N10" s="224" t="s">
        <v>200</v>
      </c>
      <c r="O10" s="207">
        <f>O9-O8</f>
        <v>838.6363119351995</v>
      </c>
      <c r="P10" s="207">
        <f>P9-P8</f>
        <v>857</v>
      </c>
      <c r="Q10" s="207">
        <f t="shared" ref="Q10:R10" si="3">Q9-Q8</f>
        <v>846</v>
      </c>
      <c r="R10" s="207">
        <f t="shared" si="3"/>
        <v>827</v>
      </c>
      <c r="S10" s="228"/>
      <c r="T10" s="224" t="s">
        <v>200</v>
      </c>
      <c r="U10" s="207">
        <f>U9-U8</f>
        <v>249.65903145289985</v>
      </c>
      <c r="V10" s="207">
        <f>V9-V8</f>
        <v>264</v>
      </c>
      <c r="W10" s="207">
        <f t="shared" ref="W10" si="4">W9-W8</f>
        <v>240</v>
      </c>
      <c r="X10" s="207">
        <f t="shared" ref="X10" si="5">X9-X8</f>
        <v>238</v>
      </c>
      <c r="Y10" s="228"/>
      <c r="Z10" s="235"/>
    </row>
    <row r="11" spans="1:26" ht="15" thickBot="1" x14ac:dyDescent="0.35">
      <c r="A11" s="232"/>
      <c r="B11" s="233"/>
      <c r="C11" s="233"/>
      <c r="D11" s="233"/>
      <c r="E11" s="233"/>
      <c r="F11" s="233"/>
      <c r="G11" s="233"/>
      <c r="H11" s="233"/>
      <c r="I11" s="233"/>
      <c r="J11" s="233"/>
      <c r="K11" s="233"/>
      <c r="L11" s="233"/>
      <c r="M11" s="233"/>
      <c r="N11" s="237"/>
      <c r="O11" s="238"/>
      <c r="P11" s="238"/>
      <c r="Q11" s="238"/>
      <c r="R11" s="238"/>
      <c r="S11" s="233"/>
      <c r="T11" s="237"/>
      <c r="U11" s="238"/>
      <c r="V11" s="238"/>
      <c r="W11" s="238"/>
      <c r="X11" s="238"/>
      <c r="Y11" s="233"/>
      <c r="Z11" s="236"/>
    </row>
    <row r="12" spans="1:26" x14ac:dyDescent="0.3">
      <c r="A12" s="225" t="s">
        <v>191</v>
      </c>
      <c r="B12" s="226"/>
      <c r="C12" s="226"/>
      <c r="D12" s="226"/>
      <c r="E12" s="226"/>
      <c r="F12" s="226"/>
      <c r="G12" s="226"/>
      <c r="H12" s="226"/>
      <c r="I12" s="226"/>
      <c r="J12" s="226"/>
      <c r="K12" s="226"/>
      <c r="L12" s="226"/>
      <c r="M12" s="226"/>
      <c r="N12" s="240"/>
      <c r="O12" s="241"/>
      <c r="P12" s="241"/>
      <c r="Q12" s="241"/>
      <c r="R12" s="241"/>
      <c r="S12" s="226"/>
      <c r="T12" s="240"/>
      <c r="U12" s="241"/>
      <c r="V12" s="241"/>
      <c r="W12" s="241"/>
      <c r="X12" s="241"/>
      <c r="Y12" s="226"/>
      <c r="Z12" s="234"/>
    </row>
    <row r="13" spans="1:26" x14ac:dyDescent="0.3">
      <c r="A13" s="231"/>
      <c r="B13" s="228"/>
      <c r="C13" s="228"/>
      <c r="D13" s="228"/>
      <c r="E13" s="228"/>
      <c r="F13" s="228"/>
      <c r="G13" s="228"/>
      <c r="H13" s="228"/>
      <c r="I13" s="228"/>
      <c r="J13" s="228"/>
      <c r="K13" s="228"/>
      <c r="L13" s="228"/>
      <c r="M13" s="228"/>
      <c r="N13" s="228"/>
      <c r="O13" s="228"/>
      <c r="P13" s="228"/>
      <c r="Q13" s="228"/>
      <c r="R13" s="228"/>
      <c r="S13" s="228"/>
      <c r="T13" s="228"/>
      <c r="U13" s="228"/>
      <c r="V13" s="228"/>
      <c r="W13" s="228"/>
      <c r="X13" s="228"/>
      <c r="Y13" s="228"/>
      <c r="Z13" s="235"/>
    </row>
    <row r="14" spans="1:26" x14ac:dyDescent="0.3">
      <c r="A14" s="227" t="s">
        <v>206</v>
      </c>
      <c r="B14" s="228"/>
      <c r="C14" s="228"/>
      <c r="D14" s="228"/>
      <c r="E14" s="228"/>
      <c r="F14" s="228"/>
      <c r="G14" s="228"/>
      <c r="H14" s="228"/>
      <c r="I14" s="228"/>
      <c r="J14" s="228"/>
      <c r="K14" s="228"/>
      <c r="L14" s="228"/>
      <c r="M14" s="228"/>
      <c r="N14" s="228"/>
      <c r="O14" s="209" t="s">
        <v>118</v>
      </c>
      <c r="P14" s="209" t="s">
        <v>140</v>
      </c>
      <c r="Q14" s="209" t="s">
        <v>141</v>
      </c>
      <c r="R14" s="209" t="s">
        <v>142</v>
      </c>
      <c r="S14" s="228"/>
      <c r="T14" s="228"/>
      <c r="U14" s="228"/>
      <c r="V14" s="228"/>
      <c r="W14" s="228"/>
      <c r="X14" s="228"/>
      <c r="Y14" s="228"/>
      <c r="Z14" s="235"/>
    </row>
    <row r="15" spans="1:26" ht="70.8" customHeight="1" x14ac:dyDescent="0.3">
      <c r="A15" s="229" t="s">
        <v>192</v>
      </c>
      <c r="B15" s="343" t="s">
        <v>212</v>
      </c>
      <c r="C15" s="343"/>
      <c r="D15" s="343"/>
      <c r="E15" s="343"/>
      <c r="F15" s="343"/>
      <c r="G15" s="343"/>
      <c r="H15" s="343"/>
      <c r="I15" s="343"/>
      <c r="J15" s="343"/>
      <c r="K15" s="343"/>
      <c r="L15" s="343"/>
      <c r="M15" s="228"/>
      <c r="N15" s="209" t="s">
        <v>197</v>
      </c>
      <c r="O15" s="207">
        <v>293.12209487147652</v>
      </c>
      <c r="P15" s="207">
        <v>269.7</v>
      </c>
      <c r="Q15" s="207">
        <v>274.8</v>
      </c>
      <c r="R15" s="207">
        <v>247.6</v>
      </c>
      <c r="S15" s="228"/>
      <c r="T15" s="228"/>
      <c r="U15" s="228"/>
      <c r="V15" s="228"/>
      <c r="W15" s="228"/>
      <c r="X15" s="228"/>
      <c r="Y15" s="228"/>
      <c r="Z15" s="235"/>
    </row>
    <row r="16" spans="1:26" ht="74.400000000000006" customHeight="1" x14ac:dyDescent="0.3">
      <c r="A16" s="230" t="s">
        <v>193</v>
      </c>
      <c r="B16" s="343"/>
      <c r="C16" s="343"/>
      <c r="D16" s="343"/>
      <c r="E16" s="343"/>
      <c r="F16" s="343"/>
      <c r="G16" s="343"/>
      <c r="H16" s="343"/>
      <c r="I16" s="343"/>
      <c r="J16" s="343"/>
      <c r="K16" s="343"/>
      <c r="L16" s="343"/>
      <c r="M16" s="228"/>
      <c r="N16" s="209" t="s">
        <v>207</v>
      </c>
      <c r="O16" s="207">
        <v>305.19521832647621</v>
      </c>
      <c r="P16" s="207">
        <v>279.39999999999998</v>
      </c>
      <c r="Q16" s="207">
        <v>288.2</v>
      </c>
      <c r="R16" s="207">
        <v>244.1</v>
      </c>
      <c r="S16" s="228"/>
      <c r="T16" s="228"/>
      <c r="U16" s="228"/>
      <c r="V16" s="228"/>
      <c r="W16" s="228"/>
      <c r="X16" s="228"/>
      <c r="Y16" s="228"/>
      <c r="Z16" s="235"/>
    </row>
    <row r="17" spans="1:31" ht="23.4" customHeight="1" x14ac:dyDescent="0.3">
      <c r="A17" s="345" t="s">
        <v>242</v>
      </c>
      <c r="B17" s="347" t="s">
        <v>243</v>
      </c>
      <c r="C17" s="347"/>
      <c r="D17" s="347"/>
      <c r="E17" s="347"/>
      <c r="F17" s="347"/>
      <c r="G17" s="347"/>
      <c r="H17" s="347"/>
      <c r="I17" s="347"/>
      <c r="J17" s="347"/>
      <c r="K17" s="347"/>
      <c r="L17" s="347"/>
      <c r="M17" s="228"/>
      <c r="N17" s="239" t="s">
        <v>194</v>
      </c>
      <c r="O17" s="207">
        <f>O16-O15</f>
        <v>12.073123454999688</v>
      </c>
      <c r="P17" s="207">
        <f t="shared" ref="P17:R17" si="6">P16-P15</f>
        <v>9.6999999999999886</v>
      </c>
      <c r="Q17" s="207">
        <f t="shared" si="6"/>
        <v>13.399999999999977</v>
      </c>
      <c r="R17" s="242">
        <f t="shared" si="6"/>
        <v>-3.5</v>
      </c>
      <c r="S17" s="228"/>
      <c r="T17" s="343" t="s">
        <v>246</v>
      </c>
      <c r="U17" s="343"/>
      <c r="V17" s="343"/>
      <c r="W17" s="343"/>
      <c r="X17" s="343"/>
      <c r="Y17" s="343"/>
      <c r="Z17" s="346"/>
    </row>
    <row r="18" spans="1:31" x14ac:dyDescent="0.3">
      <c r="A18" s="345"/>
      <c r="B18" s="347"/>
      <c r="C18" s="347"/>
      <c r="D18" s="347"/>
      <c r="E18" s="347"/>
      <c r="F18" s="347"/>
      <c r="G18" s="347"/>
      <c r="H18" s="347"/>
      <c r="I18" s="347"/>
      <c r="J18" s="347"/>
      <c r="K18" s="347"/>
      <c r="L18" s="347"/>
      <c r="M18" s="228"/>
      <c r="N18" s="228"/>
      <c r="O18" s="209" t="s">
        <v>118</v>
      </c>
      <c r="P18" s="209" t="s">
        <v>140</v>
      </c>
      <c r="Q18" s="209" t="s">
        <v>141</v>
      </c>
      <c r="R18" s="209" t="s">
        <v>142</v>
      </c>
      <c r="S18" s="228"/>
      <c r="T18" s="343"/>
      <c r="U18" s="343"/>
      <c r="V18" s="343"/>
      <c r="W18" s="343"/>
      <c r="X18" s="343"/>
      <c r="Y18" s="343"/>
      <c r="Z18" s="346"/>
    </row>
    <row r="19" spans="1:31" x14ac:dyDescent="0.3">
      <c r="A19" s="345"/>
      <c r="B19" s="347"/>
      <c r="C19" s="347"/>
      <c r="D19" s="347"/>
      <c r="E19" s="347"/>
      <c r="F19" s="347"/>
      <c r="G19" s="347"/>
      <c r="H19" s="347"/>
      <c r="I19" s="347"/>
      <c r="J19" s="347"/>
      <c r="K19" s="347"/>
      <c r="L19" s="347"/>
      <c r="M19" s="228"/>
      <c r="N19" s="211" t="s">
        <v>198</v>
      </c>
      <c r="O19" s="207">
        <v>4023.0400641921001</v>
      </c>
      <c r="P19" s="127">
        <v>4049</v>
      </c>
      <c r="Q19" s="127">
        <v>4007</v>
      </c>
      <c r="R19" s="127">
        <v>4101</v>
      </c>
      <c r="S19" s="228"/>
      <c r="T19" s="343"/>
      <c r="U19" s="343"/>
      <c r="V19" s="343"/>
      <c r="W19" s="343"/>
      <c r="X19" s="343"/>
      <c r="Y19" s="343"/>
      <c r="Z19" s="346"/>
    </row>
    <row r="20" spans="1:31" x14ac:dyDescent="0.3">
      <c r="A20" s="231"/>
      <c r="B20" s="347"/>
      <c r="C20" s="347"/>
      <c r="D20" s="347"/>
      <c r="E20" s="347"/>
      <c r="F20" s="347"/>
      <c r="G20" s="347"/>
      <c r="H20" s="347"/>
      <c r="I20" s="347"/>
      <c r="J20" s="347"/>
      <c r="K20" s="347"/>
      <c r="L20" s="347"/>
      <c r="M20" s="228"/>
      <c r="N20" s="211" t="s">
        <v>208</v>
      </c>
      <c r="O20" s="207">
        <v>4037.2374361233001</v>
      </c>
      <c r="P20" s="127">
        <v>4081</v>
      </c>
      <c r="Q20" s="127">
        <v>4009</v>
      </c>
      <c r="R20" s="127">
        <v>4119</v>
      </c>
      <c r="S20" s="228"/>
      <c r="T20" s="228"/>
      <c r="U20" s="228"/>
      <c r="V20" s="228"/>
      <c r="W20" s="228"/>
      <c r="X20" s="228"/>
      <c r="Y20" s="228"/>
      <c r="Z20" s="235"/>
    </row>
    <row r="21" spans="1:31" x14ac:dyDescent="0.3">
      <c r="A21" s="231"/>
      <c r="B21" s="347"/>
      <c r="C21" s="347"/>
      <c r="D21" s="347"/>
      <c r="E21" s="347"/>
      <c r="F21" s="347"/>
      <c r="G21" s="347"/>
      <c r="H21" s="347"/>
      <c r="I21" s="347"/>
      <c r="J21" s="347"/>
      <c r="K21" s="347"/>
      <c r="L21" s="347"/>
      <c r="M21" s="228"/>
      <c r="N21" s="224" t="s">
        <v>200</v>
      </c>
      <c r="O21" s="207">
        <f t="shared" ref="O21:R21" si="7">O20-O19</f>
        <v>14.197371931199996</v>
      </c>
      <c r="P21" s="207">
        <f t="shared" si="7"/>
        <v>32</v>
      </c>
      <c r="Q21" s="207">
        <f t="shared" si="7"/>
        <v>2</v>
      </c>
      <c r="R21" s="207">
        <f t="shared" si="7"/>
        <v>18</v>
      </c>
      <c r="S21" s="228"/>
      <c r="T21" s="228"/>
      <c r="U21" s="228"/>
      <c r="V21" s="228"/>
      <c r="W21" s="228"/>
      <c r="X21" s="228"/>
      <c r="Y21" s="228"/>
      <c r="Z21" s="235"/>
    </row>
    <row r="22" spans="1:31" x14ac:dyDescent="0.3">
      <c r="A22" s="231"/>
      <c r="B22" s="347"/>
      <c r="C22" s="347"/>
      <c r="D22" s="347"/>
      <c r="E22" s="347"/>
      <c r="F22" s="347"/>
      <c r="G22" s="347"/>
      <c r="H22" s="347"/>
      <c r="I22" s="347"/>
      <c r="J22" s="347"/>
      <c r="K22" s="347"/>
      <c r="L22" s="347"/>
      <c r="M22" s="228"/>
      <c r="N22" s="239"/>
      <c r="O22" s="243"/>
      <c r="P22" s="243"/>
      <c r="Q22" s="243"/>
      <c r="R22" s="243"/>
      <c r="S22" s="228"/>
      <c r="T22" s="228"/>
      <c r="U22" s="228"/>
      <c r="V22" s="228"/>
      <c r="W22" s="228"/>
      <c r="X22" s="228"/>
      <c r="Y22" s="228"/>
      <c r="Z22" s="235"/>
    </row>
    <row r="23" spans="1:31" x14ac:dyDescent="0.3">
      <c r="A23" s="231"/>
      <c r="B23" s="347"/>
      <c r="C23" s="347"/>
      <c r="D23" s="347"/>
      <c r="E23" s="347"/>
      <c r="F23" s="347"/>
      <c r="G23" s="347"/>
      <c r="H23" s="347"/>
      <c r="I23" s="347"/>
      <c r="J23" s="347"/>
      <c r="K23" s="347"/>
      <c r="L23" s="347"/>
      <c r="M23" s="228"/>
      <c r="N23" s="239"/>
      <c r="O23" s="243"/>
      <c r="P23" s="243"/>
      <c r="Q23" s="243"/>
      <c r="R23" s="243"/>
      <c r="S23" s="228"/>
      <c r="T23" s="228"/>
      <c r="U23" s="228"/>
      <c r="V23" s="228"/>
      <c r="W23" s="228"/>
      <c r="X23" s="228"/>
      <c r="Y23" s="228"/>
      <c r="Z23" s="235"/>
    </row>
    <row r="24" spans="1:31" x14ac:dyDescent="0.3">
      <c r="A24" s="231"/>
      <c r="B24" s="347"/>
      <c r="C24" s="347"/>
      <c r="D24" s="347"/>
      <c r="E24" s="347"/>
      <c r="F24" s="347"/>
      <c r="G24" s="347"/>
      <c r="H24" s="347"/>
      <c r="I24" s="347"/>
      <c r="J24" s="347"/>
      <c r="K24" s="347"/>
      <c r="L24" s="347"/>
      <c r="M24" s="228"/>
      <c r="N24" s="239"/>
      <c r="O24" s="243"/>
      <c r="P24" s="243"/>
      <c r="Q24" s="243"/>
      <c r="R24" s="243"/>
      <c r="S24" s="228"/>
      <c r="T24" s="228"/>
      <c r="U24" s="228"/>
      <c r="V24" s="228"/>
      <c r="W24" s="228"/>
      <c r="X24" s="228"/>
      <c r="Y24" s="228"/>
      <c r="Z24" s="235"/>
    </row>
    <row r="25" spans="1:31" x14ac:dyDescent="0.3">
      <c r="A25" s="231"/>
      <c r="B25" s="347"/>
      <c r="C25" s="347"/>
      <c r="D25" s="347"/>
      <c r="E25" s="347"/>
      <c r="F25" s="347"/>
      <c r="G25" s="347"/>
      <c r="H25" s="347"/>
      <c r="I25" s="347"/>
      <c r="J25" s="347"/>
      <c r="K25" s="347"/>
      <c r="L25" s="347"/>
      <c r="M25" s="228"/>
      <c r="N25" s="239"/>
      <c r="O25" s="243"/>
      <c r="P25" s="243"/>
      <c r="Q25" s="243"/>
      <c r="R25" s="243"/>
      <c r="S25" s="228"/>
      <c r="T25" s="228"/>
      <c r="U25" s="228"/>
      <c r="V25" s="228"/>
      <c r="W25" s="228"/>
      <c r="X25" s="228"/>
      <c r="Y25" s="228"/>
      <c r="Z25" s="235"/>
    </row>
    <row r="26" spans="1:31" x14ac:dyDescent="0.3">
      <c r="A26" s="231"/>
      <c r="B26" s="347"/>
      <c r="C26" s="347"/>
      <c r="D26" s="347"/>
      <c r="E26" s="347"/>
      <c r="F26" s="347"/>
      <c r="G26" s="347"/>
      <c r="H26" s="347"/>
      <c r="I26" s="347"/>
      <c r="J26" s="347"/>
      <c r="K26" s="347"/>
      <c r="L26" s="347"/>
      <c r="M26" s="228"/>
      <c r="N26" s="239"/>
      <c r="O26" s="243"/>
      <c r="P26" s="243"/>
      <c r="Q26" s="243"/>
      <c r="R26" s="243"/>
      <c r="S26" s="228"/>
      <c r="T26" s="228"/>
      <c r="U26" s="228"/>
      <c r="V26" s="228"/>
      <c r="W26" s="228"/>
      <c r="X26" s="228"/>
      <c r="Y26" s="228"/>
      <c r="Z26" s="235"/>
    </row>
    <row r="27" spans="1:31" x14ac:dyDescent="0.3">
      <c r="A27" s="231"/>
      <c r="B27" s="347"/>
      <c r="C27" s="347"/>
      <c r="D27" s="347"/>
      <c r="E27" s="347"/>
      <c r="F27" s="347"/>
      <c r="G27" s="347"/>
      <c r="H27" s="347"/>
      <c r="I27" s="347"/>
      <c r="J27" s="347"/>
      <c r="K27" s="347"/>
      <c r="L27" s="347"/>
      <c r="M27" s="228"/>
      <c r="N27" s="239"/>
      <c r="O27" s="243"/>
      <c r="P27" s="243"/>
      <c r="Q27" s="243"/>
      <c r="R27" s="243"/>
      <c r="S27" s="228"/>
      <c r="T27" s="228"/>
      <c r="U27" s="228"/>
      <c r="V27" s="228"/>
      <c r="W27" s="228"/>
      <c r="X27" s="228"/>
      <c r="Y27" s="228"/>
      <c r="Z27" s="235"/>
    </row>
    <row r="28" spans="1:31" x14ac:dyDescent="0.3">
      <c r="A28" s="231"/>
      <c r="B28" s="347"/>
      <c r="C28" s="347"/>
      <c r="D28" s="347"/>
      <c r="E28" s="347"/>
      <c r="F28" s="347"/>
      <c r="G28" s="347"/>
      <c r="H28" s="347"/>
      <c r="I28" s="347"/>
      <c r="J28" s="347"/>
      <c r="K28" s="347"/>
      <c r="L28" s="347"/>
      <c r="M28" s="228"/>
      <c r="N28" s="239"/>
      <c r="O28" s="243"/>
      <c r="P28" s="243"/>
      <c r="Q28" s="243"/>
      <c r="R28" s="243"/>
      <c r="S28" s="228"/>
      <c r="T28" s="228"/>
      <c r="U28" s="228"/>
      <c r="V28" s="228"/>
      <c r="W28" s="228"/>
      <c r="X28" s="228"/>
      <c r="Y28" s="228"/>
      <c r="Z28" s="235"/>
    </row>
    <row r="29" spans="1:31" x14ac:dyDescent="0.3">
      <c r="A29" s="231"/>
      <c r="B29" s="347"/>
      <c r="C29" s="347"/>
      <c r="D29" s="347"/>
      <c r="E29" s="347"/>
      <c r="F29" s="347"/>
      <c r="G29" s="347"/>
      <c r="H29" s="347"/>
      <c r="I29" s="347"/>
      <c r="J29" s="347"/>
      <c r="K29" s="347"/>
      <c r="L29" s="347"/>
      <c r="M29" s="228"/>
      <c r="N29" s="239"/>
      <c r="O29" s="243"/>
      <c r="P29" s="243"/>
      <c r="Q29" s="243"/>
      <c r="R29" s="243"/>
      <c r="S29" s="228"/>
      <c r="T29" s="228"/>
      <c r="U29" s="228"/>
      <c r="V29" s="228"/>
      <c r="W29" s="228"/>
      <c r="X29" s="228"/>
      <c r="Y29" s="228"/>
      <c r="Z29" s="235"/>
    </row>
    <row r="30" spans="1:31" x14ac:dyDescent="0.3">
      <c r="A30" s="231"/>
      <c r="B30" s="347"/>
      <c r="C30" s="347"/>
      <c r="D30" s="347"/>
      <c r="E30" s="347"/>
      <c r="F30" s="347"/>
      <c r="G30" s="347"/>
      <c r="H30" s="347"/>
      <c r="I30" s="347"/>
      <c r="J30" s="347"/>
      <c r="K30" s="347"/>
      <c r="L30" s="347"/>
      <c r="M30" s="228"/>
      <c r="N30" s="239"/>
      <c r="O30" s="243"/>
      <c r="P30" s="243"/>
      <c r="Q30" s="243"/>
      <c r="R30" s="243"/>
      <c r="S30" s="228"/>
      <c r="T30" s="228"/>
      <c r="U30" s="228"/>
      <c r="V30" s="228"/>
      <c r="W30" s="228"/>
      <c r="X30" s="228"/>
      <c r="Y30" s="228"/>
      <c r="Z30" s="235"/>
    </row>
    <row r="31" spans="1:31" ht="15" thickBot="1" x14ac:dyDescent="0.35">
      <c r="A31" s="231"/>
      <c r="B31" s="228"/>
      <c r="C31" s="228"/>
      <c r="D31" s="228"/>
      <c r="E31" s="228"/>
      <c r="F31" s="228"/>
      <c r="G31" s="228"/>
      <c r="H31" s="228"/>
      <c r="I31" s="228"/>
      <c r="J31" s="228"/>
      <c r="K31" s="228"/>
      <c r="L31" s="228"/>
      <c r="M31" s="228"/>
      <c r="N31" s="239"/>
      <c r="O31" s="243"/>
      <c r="P31" s="243"/>
      <c r="Q31" s="243"/>
      <c r="R31" s="243"/>
      <c r="S31" s="228"/>
      <c r="T31" s="228"/>
      <c r="U31" s="228"/>
      <c r="V31" s="228"/>
      <c r="W31" s="228"/>
      <c r="X31" s="228"/>
      <c r="Y31" s="228"/>
      <c r="Z31" s="235"/>
    </row>
    <row r="32" spans="1:31" x14ac:dyDescent="0.3">
      <c r="A32" s="225" t="s">
        <v>191</v>
      </c>
      <c r="B32" s="226"/>
      <c r="C32" s="226"/>
      <c r="D32" s="226"/>
      <c r="E32" s="226"/>
      <c r="F32" s="226"/>
      <c r="G32" s="226"/>
      <c r="H32" s="226"/>
      <c r="I32" s="226"/>
      <c r="J32" s="226"/>
      <c r="K32" s="226"/>
      <c r="L32" s="226"/>
      <c r="M32" s="226"/>
      <c r="N32" s="226"/>
      <c r="O32" s="226"/>
      <c r="P32" s="226"/>
      <c r="Q32" s="226"/>
      <c r="R32" s="226"/>
      <c r="S32" s="226"/>
      <c r="T32" s="226"/>
      <c r="U32" s="226"/>
      <c r="V32" s="226"/>
      <c r="W32" s="226"/>
      <c r="X32" s="226"/>
      <c r="Y32" s="226"/>
      <c r="Z32" s="226"/>
      <c r="AA32" s="226"/>
      <c r="AB32" s="226"/>
      <c r="AC32" s="226"/>
      <c r="AD32" s="226"/>
      <c r="AE32" s="234"/>
    </row>
    <row r="33" spans="1:48" ht="27.6" x14ac:dyDescent="0.3">
      <c r="A33" s="227" t="s">
        <v>209</v>
      </c>
      <c r="B33" s="228"/>
      <c r="C33" s="228"/>
      <c r="D33" s="228"/>
      <c r="E33" s="228"/>
      <c r="F33" s="228"/>
      <c r="G33" s="228"/>
      <c r="H33" s="228"/>
      <c r="I33" s="228"/>
      <c r="J33" s="228"/>
      <c r="K33" s="228"/>
      <c r="L33" s="228"/>
      <c r="M33" s="228"/>
      <c r="N33" s="228"/>
      <c r="O33" s="209" t="s">
        <v>118</v>
      </c>
      <c r="P33" s="209" t="s">
        <v>140</v>
      </c>
      <c r="Q33" s="209" t="s">
        <v>141</v>
      </c>
      <c r="R33" s="209" t="s">
        <v>142</v>
      </c>
      <c r="S33" s="228"/>
      <c r="T33" s="6"/>
      <c r="U33" s="210" t="s">
        <v>118</v>
      </c>
      <c r="V33" s="210" t="s">
        <v>140</v>
      </c>
      <c r="W33" s="210" t="s">
        <v>141</v>
      </c>
      <c r="X33" s="210" t="s">
        <v>142</v>
      </c>
      <c r="Y33" s="228"/>
      <c r="Z33" s="228"/>
      <c r="AA33" s="209" t="s">
        <v>118</v>
      </c>
      <c r="AB33" s="209" t="s">
        <v>140</v>
      </c>
      <c r="AC33" s="209" t="s">
        <v>141</v>
      </c>
      <c r="AD33" s="209" t="s">
        <v>142</v>
      </c>
      <c r="AE33" s="235"/>
    </row>
    <row r="34" spans="1:48" ht="46.2" customHeight="1" x14ac:dyDescent="0.3">
      <c r="A34" s="229" t="s">
        <v>192</v>
      </c>
      <c r="B34" s="343" t="s">
        <v>210</v>
      </c>
      <c r="C34" s="343"/>
      <c r="D34" s="343"/>
      <c r="E34" s="343"/>
      <c r="F34" s="343"/>
      <c r="G34" s="343"/>
      <c r="H34" s="343"/>
      <c r="I34" s="343"/>
      <c r="J34" s="343"/>
      <c r="K34" s="343"/>
      <c r="L34" s="343"/>
      <c r="M34" s="228"/>
      <c r="N34" s="209" t="s">
        <v>201</v>
      </c>
      <c r="O34" s="207">
        <v>265.32347369074</v>
      </c>
      <c r="P34" s="207">
        <v>243.9</v>
      </c>
      <c r="Q34" s="207">
        <v>260.2</v>
      </c>
      <c r="R34" s="207">
        <v>231</v>
      </c>
      <c r="S34" s="228"/>
      <c r="T34" s="209" t="s">
        <v>213</v>
      </c>
      <c r="U34" s="207">
        <v>268.18430282168998</v>
      </c>
      <c r="V34" s="207">
        <v>246.8</v>
      </c>
      <c r="W34" s="207">
        <v>260.7</v>
      </c>
      <c r="X34" s="207">
        <v>231.6</v>
      </c>
      <c r="Y34" s="6"/>
      <c r="Z34" s="209" t="s">
        <v>215</v>
      </c>
      <c r="AA34" s="207">
        <v>284.06009243667</v>
      </c>
      <c r="AB34" s="207">
        <v>260.7</v>
      </c>
      <c r="AC34" s="207">
        <v>271.10000000000002</v>
      </c>
      <c r="AD34" s="207">
        <v>246.3</v>
      </c>
      <c r="AE34" s="235"/>
    </row>
    <row r="35" spans="1:48" ht="48" customHeight="1" x14ac:dyDescent="0.3">
      <c r="A35" s="230" t="s">
        <v>193</v>
      </c>
      <c r="B35" s="343"/>
      <c r="C35" s="343"/>
      <c r="D35" s="343"/>
      <c r="E35" s="343"/>
      <c r="F35" s="343"/>
      <c r="G35" s="343"/>
      <c r="H35" s="343"/>
      <c r="I35" s="343"/>
      <c r="J35" s="343"/>
      <c r="K35" s="343"/>
      <c r="L35" s="343"/>
      <c r="M35" s="228"/>
      <c r="N35" s="209" t="s">
        <v>211</v>
      </c>
      <c r="O35" s="207">
        <v>254.78633030317999</v>
      </c>
      <c r="P35" s="207">
        <v>227.9</v>
      </c>
      <c r="Q35" s="207">
        <v>261.89999999999998</v>
      </c>
      <c r="R35" s="207">
        <v>216</v>
      </c>
      <c r="S35" s="228"/>
      <c r="T35" s="209" t="s">
        <v>214</v>
      </c>
      <c r="U35" s="207">
        <v>258.94204171681002</v>
      </c>
      <c r="V35" s="207">
        <v>233.1</v>
      </c>
      <c r="W35" s="207">
        <v>262.89999999999998</v>
      </c>
      <c r="X35" s="207">
        <v>217.1</v>
      </c>
      <c r="Y35" s="6"/>
      <c r="Z35" s="209" t="s">
        <v>219</v>
      </c>
      <c r="AA35" s="207">
        <v>270.88527278360999</v>
      </c>
      <c r="AB35" s="207">
        <v>244.1</v>
      </c>
      <c r="AC35" s="207">
        <v>274.3</v>
      </c>
      <c r="AD35" s="207">
        <v>231.1</v>
      </c>
      <c r="AE35" s="235"/>
    </row>
    <row r="36" spans="1:48" x14ac:dyDescent="0.3">
      <c r="A36" s="231"/>
      <c r="B36" s="228" t="s">
        <v>231</v>
      </c>
      <c r="C36" s="228"/>
      <c r="D36" s="228"/>
      <c r="E36" s="228"/>
      <c r="F36" s="228"/>
      <c r="G36" s="228"/>
      <c r="H36" s="228"/>
      <c r="I36" s="228"/>
      <c r="J36" s="228"/>
      <c r="K36" s="228"/>
      <c r="L36" s="228"/>
      <c r="M36" s="228"/>
      <c r="N36" s="224" t="s">
        <v>194</v>
      </c>
      <c r="O36" s="207">
        <f>O35-O34</f>
        <v>-10.537143387560008</v>
      </c>
      <c r="P36" s="207">
        <f t="shared" ref="P36:R36" si="8">P35-P34</f>
        <v>-16</v>
      </c>
      <c r="Q36" s="245">
        <f t="shared" si="8"/>
        <v>1.6999999999999886</v>
      </c>
      <c r="R36" s="207">
        <f t="shared" si="8"/>
        <v>-15</v>
      </c>
      <c r="S36" s="228"/>
      <c r="T36" s="224" t="s">
        <v>194</v>
      </c>
      <c r="U36" s="207">
        <f>U35-U34</f>
        <v>-9.2422611048799581</v>
      </c>
      <c r="V36" s="207">
        <f t="shared" ref="V36:X36" si="9">V35-V34</f>
        <v>-13.700000000000017</v>
      </c>
      <c r="W36" s="245">
        <f t="shared" si="9"/>
        <v>2.1999999999999886</v>
      </c>
      <c r="X36" s="207">
        <f t="shared" si="9"/>
        <v>-14.5</v>
      </c>
      <c r="Y36" s="6"/>
      <c r="Z36" s="224" t="s">
        <v>194</v>
      </c>
      <c r="AA36" s="207">
        <f t="shared" ref="AA36:AD36" si="10">AA35-AA34</f>
        <v>-13.174819653060013</v>
      </c>
      <c r="AB36" s="207">
        <f t="shared" si="10"/>
        <v>-16.599999999999994</v>
      </c>
      <c r="AC36" s="245">
        <f t="shared" si="10"/>
        <v>3.1999999999999886</v>
      </c>
      <c r="AD36" s="207">
        <f t="shared" si="10"/>
        <v>-15.200000000000017</v>
      </c>
      <c r="AE36" s="235"/>
    </row>
    <row r="37" spans="1:48" x14ac:dyDescent="0.3">
      <c r="A37" s="231"/>
      <c r="B37" s="228" t="s">
        <v>232</v>
      </c>
      <c r="C37" s="228"/>
      <c r="D37" s="228"/>
      <c r="E37" s="228"/>
      <c r="F37" s="228"/>
      <c r="G37" s="228"/>
      <c r="H37" s="228"/>
      <c r="I37" s="228"/>
      <c r="J37" s="228"/>
      <c r="K37" s="228"/>
      <c r="L37" s="228"/>
      <c r="M37" s="228"/>
      <c r="N37" s="228"/>
      <c r="O37" s="228"/>
      <c r="P37" s="228"/>
      <c r="Q37" s="228"/>
      <c r="R37" s="228"/>
      <c r="S37" s="228"/>
      <c r="T37" s="228"/>
      <c r="U37" s="228"/>
      <c r="V37" s="228"/>
      <c r="W37" s="228"/>
      <c r="X37" s="228"/>
      <c r="Y37" s="228"/>
      <c r="Z37" s="228"/>
      <c r="AA37" s="228"/>
      <c r="AB37" s="228"/>
      <c r="AC37" s="228"/>
      <c r="AD37" s="228"/>
      <c r="AE37" s="235"/>
    </row>
    <row r="38" spans="1:48" x14ac:dyDescent="0.3">
      <c r="A38" s="231"/>
      <c r="B38" s="228" t="s">
        <v>233</v>
      </c>
      <c r="C38" s="228"/>
      <c r="D38" s="228"/>
      <c r="E38" s="228"/>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35"/>
    </row>
    <row r="39" spans="1:48" ht="15" thickBot="1" x14ac:dyDescent="0.35">
      <c r="A39" s="231"/>
      <c r="B39" s="228"/>
      <c r="C39" s="228"/>
      <c r="D39" s="228"/>
      <c r="E39" s="228"/>
      <c r="F39" s="228"/>
      <c r="G39" s="228"/>
      <c r="H39" s="228"/>
      <c r="I39" s="228"/>
      <c r="J39" s="228"/>
      <c r="K39" s="228"/>
      <c r="L39" s="228"/>
      <c r="M39" s="228"/>
      <c r="N39" s="228"/>
      <c r="O39" s="228"/>
      <c r="P39" s="228"/>
      <c r="Q39" s="228"/>
      <c r="R39" s="228"/>
      <c r="S39" s="228"/>
      <c r="T39" s="228"/>
      <c r="U39" s="228"/>
      <c r="V39" s="228"/>
      <c r="W39" s="228"/>
      <c r="X39" s="228"/>
      <c r="Y39" s="228"/>
      <c r="Z39" s="228"/>
      <c r="AA39" s="228"/>
      <c r="AB39" s="228"/>
      <c r="AC39" s="228"/>
      <c r="AD39" s="228"/>
      <c r="AE39" s="235"/>
    </row>
    <row r="40" spans="1:48" x14ac:dyDescent="0.3">
      <c r="A40" s="225" t="s">
        <v>191</v>
      </c>
      <c r="B40" s="226"/>
      <c r="C40" s="226"/>
      <c r="D40" s="226"/>
      <c r="E40" s="226"/>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c r="AD40" s="226"/>
      <c r="AE40" s="226"/>
      <c r="AF40" s="226"/>
      <c r="AG40" s="226"/>
      <c r="AH40" s="226"/>
      <c r="AI40" s="226"/>
      <c r="AJ40" s="226"/>
      <c r="AK40" s="226"/>
      <c r="AL40" s="226"/>
      <c r="AM40" s="226"/>
      <c r="AN40" s="226"/>
      <c r="AO40" s="226"/>
      <c r="AP40" s="226"/>
      <c r="AQ40" s="226"/>
      <c r="AR40" s="226"/>
      <c r="AS40" s="226"/>
      <c r="AT40" s="226"/>
      <c r="AU40" s="226"/>
      <c r="AV40" s="234"/>
    </row>
    <row r="41" spans="1:48" x14ac:dyDescent="0.3">
      <c r="A41" s="227" t="s">
        <v>223</v>
      </c>
      <c r="B41" s="228"/>
      <c r="C41" s="228"/>
      <c r="D41" s="228"/>
      <c r="E41" s="228"/>
      <c r="F41" s="228"/>
      <c r="G41" s="228"/>
      <c r="H41" s="228"/>
      <c r="I41" s="228"/>
      <c r="J41" s="228"/>
      <c r="K41" s="228"/>
      <c r="L41" s="228"/>
      <c r="M41" s="228"/>
      <c r="N41" s="228"/>
      <c r="O41" s="228"/>
      <c r="P41" s="228"/>
      <c r="Q41" s="228"/>
      <c r="R41" s="228"/>
      <c r="S41" s="228"/>
      <c r="T41" s="228"/>
      <c r="U41" s="228"/>
      <c r="V41" s="228"/>
      <c r="W41" s="228"/>
      <c r="X41" s="228"/>
      <c r="Y41" s="228"/>
      <c r="Z41" s="228"/>
      <c r="AA41" s="228"/>
      <c r="AB41" s="228"/>
      <c r="AC41" s="228"/>
      <c r="AD41" s="228"/>
      <c r="AE41" s="228"/>
      <c r="AF41" s="228"/>
      <c r="AG41" s="228"/>
      <c r="AH41" s="228"/>
      <c r="AI41" s="228"/>
      <c r="AJ41" s="228"/>
      <c r="AK41" s="228"/>
      <c r="AL41" s="228"/>
      <c r="AM41" s="228"/>
      <c r="AN41" s="228"/>
      <c r="AO41" s="228"/>
      <c r="AP41" s="228"/>
      <c r="AQ41" s="228"/>
      <c r="AR41" s="228"/>
      <c r="AS41" s="228"/>
      <c r="AT41" s="228"/>
      <c r="AU41" s="228"/>
      <c r="AV41" s="235"/>
    </row>
    <row r="42" spans="1:48" ht="57" customHeight="1" x14ac:dyDescent="0.3">
      <c r="A42" s="229" t="s">
        <v>192</v>
      </c>
      <c r="B42" s="343" t="s">
        <v>221</v>
      </c>
      <c r="C42" s="343"/>
      <c r="D42" s="343"/>
      <c r="E42" s="343"/>
      <c r="F42" s="343"/>
      <c r="G42" s="343"/>
      <c r="H42" s="343"/>
      <c r="I42" s="343"/>
      <c r="J42" s="343"/>
      <c r="K42" s="343"/>
      <c r="L42" s="343"/>
      <c r="M42" s="228"/>
      <c r="N42" s="228"/>
      <c r="O42" s="228"/>
      <c r="P42" s="228"/>
      <c r="Q42" s="228"/>
      <c r="R42" s="228"/>
      <c r="S42" s="228"/>
      <c r="T42" s="228"/>
      <c r="U42" s="228"/>
      <c r="V42" s="228"/>
      <c r="W42" s="228"/>
      <c r="X42" s="228"/>
      <c r="Y42" s="228"/>
      <c r="Z42" s="228"/>
      <c r="AA42" s="228"/>
      <c r="AB42" s="228"/>
      <c r="AC42" s="228"/>
      <c r="AD42" s="228"/>
      <c r="AE42" s="228"/>
      <c r="AF42" s="228"/>
      <c r="AG42" s="228"/>
      <c r="AH42" s="228"/>
      <c r="AI42" s="228"/>
      <c r="AJ42" s="228"/>
      <c r="AK42" s="228"/>
      <c r="AL42" s="228"/>
      <c r="AM42" s="228"/>
      <c r="AN42" s="228"/>
      <c r="AO42" s="228"/>
      <c r="AP42" s="228"/>
      <c r="AQ42" s="228"/>
      <c r="AR42" s="228"/>
      <c r="AS42" s="228"/>
      <c r="AT42" s="228"/>
      <c r="AU42" s="228"/>
      <c r="AV42" s="235"/>
    </row>
    <row r="43" spans="1:48" ht="56.4" customHeight="1" x14ac:dyDescent="0.3">
      <c r="A43" s="230" t="s">
        <v>193</v>
      </c>
      <c r="B43" s="343"/>
      <c r="C43" s="343"/>
      <c r="D43" s="343"/>
      <c r="E43" s="343"/>
      <c r="F43" s="343"/>
      <c r="G43" s="343"/>
      <c r="H43" s="343"/>
      <c r="I43" s="343"/>
      <c r="J43" s="343"/>
      <c r="K43" s="343"/>
      <c r="L43" s="343"/>
      <c r="M43" s="228"/>
      <c r="N43" s="228"/>
      <c r="O43" s="228"/>
      <c r="P43" s="228"/>
      <c r="Q43" s="228"/>
      <c r="R43" s="228"/>
      <c r="S43" s="228"/>
      <c r="T43" s="228"/>
      <c r="U43" s="228"/>
      <c r="V43" s="228"/>
      <c r="W43" s="228"/>
      <c r="X43" s="228"/>
      <c r="Y43" s="228"/>
      <c r="Z43" s="228"/>
      <c r="AA43" s="228"/>
      <c r="AB43" s="228"/>
      <c r="AC43" s="228"/>
      <c r="AD43" s="228"/>
      <c r="AE43" s="228"/>
      <c r="AF43" s="228"/>
      <c r="AG43" s="228"/>
      <c r="AH43" s="228"/>
      <c r="AI43" s="228"/>
      <c r="AJ43" s="228"/>
      <c r="AK43" s="228"/>
      <c r="AL43" s="228"/>
      <c r="AM43" s="228"/>
      <c r="AN43" s="228"/>
      <c r="AO43" s="228"/>
      <c r="AP43" s="228"/>
      <c r="AQ43" s="228"/>
      <c r="AR43" s="228"/>
      <c r="AS43" s="228"/>
      <c r="AT43" s="228"/>
      <c r="AU43" s="228"/>
      <c r="AV43" s="235"/>
    </row>
    <row r="44" spans="1:48" x14ac:dyDescent="0.3">
      <c r="A44" s="231"/>
      <c r="B44" s="228" t="s">
        <v>234</v>
      </c>
      <c r="C44" s="228"/>
      <c r="D44" s="228"/>
      <c r="E44" s="228"/>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c r="AK44" s="228"/>
      <c r="AL44" s="228"/>
      <c r="AM44" s="228"/>
      <c r="AN44" s="228"/>
      <c r="AO44" s="228"/>
      <c r="AP44" s="228"/>
      <c r="AQ44" s="228"/>
      <c r="AR44" s="228"/>
      <c r="AS44" s="228"/>
      <c r="AT44" s="228"/>
      <c r="AU44" s="228"/>
      <c r="AV44" s="235"/>
    </row>
    <row r="45" spans="1:48" x14ac:dyDescent="0.3">
      <c r="A45" s="231"/>
      <c r="B45" s="228" t="s">
        <v>235</v>
      </c>
      <c r="C45" s="228"/>
      <c r="D45" s="228"/>
      <c r="E45" s="228"/>
      <c r="F45" s="228"/>
      <c r="G45" s="228"/>
      <c r="H45" s="228"/>
      <c r="I45" s="228"/>
      <c r="J45" s="228"/>
      <c r="K45" s="228"/>
      <c r="L45" s="228"/>
      <c r="M45" s="228"/>
      <c r="N45" s="228"/>
      <c r="O45" s="228"/>
      <c r="P45" s="228"/>
      <c r="Q45" s="228"/>
      <c r="R45" s="228"/>
      <c r="S45" s="228"/>
      <c r="T45" s="228"/>
      <c r="U45" s="228"/>
      <c r="V45" s="228"/>
      <c r="W45" s="228"/>
      <c r="X45" s="228"/>
      <c r="Y45" s="228"/>
      <c r="Z45" s="228"/>
      <c r="AA45" s="228"/>
      <c r="AB45" s="228"/>
      <c r="AC45" s="228"/>
      <c r="AD45" s="228"/>
      <c r="AE45" s="228"/>
      <c r="AF45" s="228"/>
      <c r="AG45" s="228"/>
      <c r="AH45" s="228"/>
      <c r="AI45" s="228"/>
      <c r="AJ45" s="228"/>
      <c r="AK45" s="228"/>
      <c r="AL45" s="228"/>
      <c r="AM45" s="228"/>
      <c r="AN45" s="228"/>
      <c r="AO45" s="228"/>
      <c r="AP45" s="228"/>
      <c r="AQ45" s="228"/>
      <c r="AR45" s="228"/>
      <c r="AS45" s="228"/>
      <c r="AT45" s="228"/>
      <c r="AU45" s="228"/>
      <c r="AV45" s="235"/>
    </row>
    <row r="46" spans="1:48" x14ac:dyDescent="0.3">
      <c r="A46" s="231"/>
      <c r="B46" s="228"/>
      <c r="C46" s="228"/>
      <c r="D46" s="228"/>
      <c r="E46" s="228"/>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c r="AK46" s="228"/>
      <c r="AL46" s="228"/>
      <c r="AM46" s="228"/>
      <c r="AN46" s="228"/>
      <c r="AO46" s="228"/>
      <c r="AP46" s="228"/>
      <c r="AQ46" s="228"/>
      <c r="AR46" s="228"/>
      <c r="AS46" s="228"/>
      <c r="AT46" s="228"/>
      <c r="AU46" s="228"/>
      <c r="AV46" s="235"/>
    </row>
    <row r="47" spans="1:48" x14ac:dyDescent="0.3">
      <c r="A47" s="231"/>
      <c r="B47" s="228"/>
      <c r="C47" s="228"/>
      <c r="D47" s="228"/>
      <c r="E47" s="228"/>
      <c r="F47" s="228"/>
      <c r="G47" s="228"/>
      <c r="H47" s="228"/>
      <c r="I47" s="228"/>
      <c r="J47" s="228"/>
      <c r="K47" s="228"/>
      <c r="L47" s="228"/>
      <c r="M47" s="228"/>
      <c r="N47" s="228"/>
      <c r="O47" s="228"/>
      <c r="P47" s="228"/>
      <c r="Q47" s="228"/>
      <c r="R47" s="228"/>
      <c r="S47" s="228"/>
      <c r="T47" s="228"/>
      <c r="U47" s="228"/>
      <c r="V47" s="228"/>
      <c r="W47" s="228"/>
      <c r="X47" s="228"/>
      <c r="Y47" s="228"/>
      <c r="Z47" s="228"/>
      <c r="AA47" s="228"/>
      <c r="AB47" s="228"/>
      <c r="AC47" s="228"/>
      <c r="AD47" s="228"/>
      <c r="AE47" s="228"/>
      <c r="AF47" s="228"/>
      <c r="AG47" s="228"/>
      <c r="AH47" s="228"/>
      <c r="AI47" s="228"/>
      <c r="AJ47" s="228"/>
      <c r="AK47" s="228"/>
      <c r="AL47" s="228"/>
      <c r="AM47" s="228"/>
      <c r="AN47" s="228"/>
      <c r="AO47" s="228"/>
      <c r="AP47" s="228"/>
      <c r="AQ47" s="228"/>
      <c r="AR47" s="228"/>
      <c r="AS47" s="228"/>
      <c r="AT47" s="228"/>
      <c r="AU47" s="228"/>
      <c r="AV47" s="235"/>
    </row>
    <row r="48" spans="1:48" x14ac:dyDescent="0.3">
      <c r="A48" s="231"/>
      <c r="B48" s="228"/>
      <c r="C48" s="228"/>
      <c r="D48" s="228"/>
      <c r="E48" s="228"/>
      <c r="F48" s="228"/>
      <c r="G48" s="228"/>
      <c r="H48" s="228"/>
      <c r="I48" s="228"/>
      <c r="J48" s="228"/>
      <c r="K48" s="228"/>
      <c r="L48" s="228"/>
      <c r="M48" s="228"/>
      <c r="N48" s="228"/>
      <c r="O48" s="228"/>
      <c r="P48" s="228"/>
      <c r="Q48" s="228"/>
      <c r="R48" s="228"/>
      <c r="S48" s="228"/>
      <c r="T48" s="228"/>
      <c r="U48" s="228"/>
      <c r="V48" s="228"/>
      <c r="W48" s="228"/>
      <c r="X48" s="228"/>
      <c r="Y48" s="228"/>
      <c r="Z48" s="228"/>
      <c r="AA48" s="228"/>
      <c r="AB48" s="228"/>
      <c r="AC48" s="228"/>
      <c r="AD48" s="228"/>
      <c r="AE48" s="228"/>
      <c r="AF48" s="228"/>
      <c r="AG48" s="228"/>
      <c r="AH48" s="228"/>
      <c r="AI48" s="228"/>
      <c r="AJ48" s="228"/>
      <c r="AK48" s="228"/>
      <c r="AL48" s="228"/>
      <c r="AM48" s="228"/>
      <c r="AN48" s="228"/>
      <c r="AO48" s="228"/>
      <c r="AP48" s="228"/>
      <c r="AQ48" s="228"/>
      <c r="AR48" s="228"/>
      <c r="AS48" s="228"/>
      <c r="AT48" s="228"/>
      <c r="AU48" s="228"/>
      <c r="AV48" s="235"/>
    </row>
    <row r="49" spans="1:48" x14ac:dyDescent="0.3">
      <c r="A49" s="231"/>
      <c r="B49" s="228"/>
      <c r="C49" s="228"/>
      <c r="D49" s="228"/>
      <c r="E49" s="228"/>
      <c r="F49" s="228"/>
      <c r="G49" s="228"/>
      <c r="H49" s="228"/>
      <c r="I49" s="228"/>
      <c r="J49" s="228"/>
      <c r="K49" s="228"/>
      <c r="L49" s="228"/>
      <c r="M49" s="228"/>
      <c r="N49" s="228"/>
      <c r="O49" s="228"/>
      <c r="P49" s="228"/>
      <c r="Q49" s="228"/>
      <c r="R49" s="228"/>
      <c r="S49" s="228"/>
      <c r="T49" s="228"/>
      <c r="U49" s="228"/>
      <c r="V49" s="228"/>
      <c r="W49" s="228"/>
      <c r="X49" s="228"/>
      <c r="Y49" s="228"/>
      <c r="Z49" s="228"/>
      <c r="AA49" s="228"/>
      <c r="AB49" s="228"/>
      <c r="AC49" s="228"/>
      <c r="AD49" s="228"/>
      <c r="AE49" s="228"/>
      <c r="AF49" s="228"/>
      <c r="AG49" s="228"/>
      <c r="AH49" s="228"/>
      <c r="AI49" s="228"/>
      <c r="AJ49" s="228"/>
      <c r="AK49" s="228"/>
      <c r="AL49" s="228"/>
      <c r="AM49" s="228"/>
      <c r="AN49" s="228"/>
      <c r="AO49" s="228"/>
      <c r="AP49" s="228"/>
      <c r="AQ49" s="228"/>
      <c r="AR49" s="228"/>
      <c r="AS49" s="228"/>
      <c r="AT49" s="228"/>
      <c r="AU49" s="228"/>
      <c r="AV49" s="235"/>
    </row>
    <row r="50" spans="1:48" x14ac:dyDescent="0.3">
      <c r="A50" s="231"/>
      <c r="B50" s="228"/>
      <c r="C50" s="228"/>
      <c r="D50" s="228"/>
      <c r="E50" s="228"/>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c r="AK50" s="228"/>
      <c r="AL50" s="228"/>
      <c r="AM50" s="228"/>
      <c r="AN50" s="228"/>
      <c r="AO50" s="228"/>
      <c r="AP50" s="228"/>
      <c r="AQ50" s="228"/>
      <c r="AR50" s="228"/>
      <c r="AS50" s="228"/>
      <c r="AT50" s="228"/>
      <c r="AU50" s="228"/>
      <c r="AV50" s="235"/>
    </row>
    <row r="51" spans="1:48" x14ac:dyDescent="0.3">
      <c r="A51" s="231"/>
      <c r="B51" s="228"/>
      <c r="C51" s="228"/>
      <c r="D51" s="228"/>
      <c r="E51" s="228"/>
      <c r="F51" s="228"/>
      <c r="G51" s="228"/>
      <c r="H51" s="228"/>
      <c r="I51" s="228"/>
      <c r="J51" s="228"/>
      <c r="K51" s="228"/>
      <c r="L51" s="228"/>
      <c r="M51" s="228"/>
      <c r="N51" s="228"/>
      <c r="O51" s="228"/>
      <c r="P51" s="228"/>
      <c r="Q51" s="228"/>
      <c r="R51" s="228"/>
      <c r="S51" s="228"/>
      <c r="T51" s="228"/>
      <c r="U51" s="228"/>
      <c r="V51" s="228"/>
      <c r="W51" s="228"/>
      <c r="X51" s="228"/>
      <c r="Y51" s="228"/>
      <c r="Z51" s="228"/>
      <c r="AA51" s="228"/>
      <c r="AB51" s="228"/>
      <c r="AC51" s="228"/>
      <c r="AD51" s="228"/>
      <c r="AE51" s="228"/>
      <c r="AF51" s="228"/>
      <c r="AG51" s="228"/>
      <c r="AH51" s="228"/>
      <c r="AI51" s="228"/>
      <c r="AJ51" s="228"/>
      <c r="AK51" s="228"/>
      <c r="AL51" s="228"/>
      <c r="AM51" s="228"/>
      <c r="AN51" s="228"/>
      <c r="AO51" s="228"/>
      <c r="AP51" s="228"/>
      <c r="AQ51" s="228"/>
      <c r="AR51" s="228"/>
      <c r="AS51" s="228"/>
      <c r="AT51" s="228"/>
      <c r="AU51" s="228"/>
      <c r="AV51" s="235"/>
    </row>
    <row r="52" spans="1:48" x14ac:dyDescent="0.3">
      <c r="A52" s="231"/>
      <c r="B52" s="228"/>
      <c r="C52" s="228"/>
      <c r="D52" s="228"/>
      <c r="E52" s="228"/>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c r="AK52" s="228"/>
      <c r="AL52" s="228"/>
      <c r="AM52" s="228"/>
      <c r="AN52" s="228"/>
      <c r="AO52" s="228"/>
      <c r="AP52" s="228"/>
      <c r="AQ52" s="228"/>
      <c r="AR52" s="228"/>
      <c r="AS52" s="228"/>
      <c r="AT52" s="228"/>
      <c r="AU52" s="228"/>
      <c r="AV52" s="235"/>
    </row>
    <row r="53" spans="1:48" x14ac:dyDescent="0.3">
      <c r="A53" s="231"/>
      <c r="B53" s="228"/>
      <c r="C53" s="228"/>
      <c r="D53" s="228"/>
      <c r="E53" s="228"/>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c r="AK53" s="228"/>
      <c r="AL53" s="228"/>
      <c r="AM53" s="228"/>
      <c r="AN53" s="228"/>
      <c r="AO53" s="228"/>
      <c r="AP53" s="228"/>
      <c r="AQ53" s="228"/>
      <c r="AR53" s="228"/>
      <c r="AS53" s="228"/>
      <c r="AT53" s="228"/>
      <c r="AU53" s="228"/>
      <c r="AV53" s="235"/>
    </row>
    <row r="54" spans="1:48" x14ac:dyDescent="0.3">
      <c r="A54" s="231"/>
      <c r="B54" s="228"/>
      <c r="C54" s="228"/>
      <c r="D54" s="228"/>
      <c r="E54" s="228"/>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c r="AK54" s="228"/>
      <c r="AL54" s="228"/>
      <c r="AM54" s="228"/>
      <c r="AN54" s="228"/>
      <c r="AO54" s="228"/>
      <c r="AP54" s="228"/>
      <c r="AQ54" s="228"/>
      <c r="AR54" s="228"/>
      <c r="AS54" s="228"/>
      <c r="AT54" s="228"/>
      <c r="AU54" s="228"/>
      <c r="AV54" s="235"/>
    </row>
    <row r="55" spans="1:48" x14ac:dyDescent="0.3">
      <c r="A55" s="231"/>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c r="AL55" s="228"/>
      <c r="AM55" s="228"/>
      <c r="AN55" s="228"/>
      <c r="AO55" s="228"/>
      <c r="AP55" s="228"/>
      <c r="AQ55" s="228"/>
      <c r="AR55" s="228"/>
      <c r="AS55" s="228"/>
      <c r="AT55" s="228"/>
      <c r="AU55" s="228"/>
      <c r="AV55" s="235"/>
    </row>
    <row r="56" spans="1:48" x14ac:dyDescent="0.3">
      <c r="A56" s="231"/>
      <c r="B56" s="228"/>
      <c r="C56" s="228"/>
      <c r="D56" s="228"/>
      <c r="E56" s="228"/>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c r="AL56" s="228"/>
      <c r="AM56" s="228"/>
      <c r="AN56" s="228"/>
      <c r="AO56" s="228"/>
      <c r="AP56" s="228"/>
      <c r="AQ56" s="228"/>
      <c r="AR56" s="228"/>
      <c r="AS56" s="228"/>
      <c r="AT56" s="228"/>
      <c r="AU56" s="228"/>
      <c r="AV56" s="235"/>
    </row>
    <row r="57" spans="1:48" x14ac:dyDescent="0.3">
      <c r="A57" s="231"/>
      <c r="B57" s="228"/>
      <c r="C57" s="228"/>
      <c r="D57" s="228"/>
      <c r="E57" s="228"/>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c r="AK57" s="228"/>
      <c r="AL57" s="228"/>
      <c r="AM57" s="228"/>
      <c r="AN57" s="228"/>
      <c r="AO57" s="228"/>
      <c r="AP57" s="228"/>
      <c r="AQ57" s="228"/>
      <c r="AR57" s="228"/>
      <c r="AS57" s="228"/>
      <c r="AT57" s="228"/>
      <c r="AU57" s="228"/>
      <c r="AV57" s="235"/>
    </row>
    <row r="58" spans="1:48" x14ac:dyDescent="0.3">
      <c r="A58" s="231"/>
      <c r="B58" s="228"/>
      <c r="C58" s="228"/>
      <c r="D58" s="228"/>
      <c r="E58" s="228"/>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c r="AL58" s="228"/>
      <c r="AM58" s="228"/>
      <c r="AN58" s="228"/>
      <c r="AO58" s="228"/>
      <c r="AP58" s="228"/>
      <c r="AQ58" s="228"/>
      <c r="AR58" s="228"/>
      <c r="AS58" s="228"/>
      <c r="AT58" s="228"/>
      <c r="AU58" s="228"/>
      <c r="AV58" s="235"/>
    </row>
    <row r="59" spans="1:48" x14ac:dyDescent="0.3">
      <c r="A59" s="231"/>
      <c r="B59" s="228"/>
      <c r="C59" s="228"/>
      <c r="D59" s="228"/>
      <c r="E59" s="228"/>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c r="AK59" s="228"/>
      <c r="AL59" s="228"/>
      <c r="AM59" s="228"/>
      <c r="AN59" s="228"/>
      <c r="AO59" s="228"/>
      <c r="AP59" s="228"/>
      <c r="AQ59" s="228"/>
      <c r="AR59" s="228"/>
      <c r="AS59" s="228"/>
      <c r="AT59" s="228"/>
      <c r="AU59" s="228"/>
      <c r="AV59" s="235"/>
    </row>
    <row r="60" spans="1:48" x14ac:dyDescent="0.3">
      <c r="A60" s="231"/>
      <c r="B60" s="228"/>
      <c r="C60" s="228"/>
      <c r="D60" s="228"/>
      <c r="E60" s="228"/>
      <c r="F60" s="228"/>
      <c r="G60" s="228"/>
      <c r="H60" s="228"/>
      <c r="I60" s="228"/>
      <c r="J60" s="228"/>
      <c r="K60" s="228"/>
      <c r="L60" s="228"/>
      <c r="M60" s="228"/>
      <c r="N60" s="228"/>
      <c r="O60" s="228"/>
      <c r="P60" s="228"/>
      <c r="Q60" s="228"/>
      <c r="R60" s="228"/>
      <c r="S60" s="228"/>
      <c r="T60" s="228"/>
      <c r="U60" s="228"/>
      <c r="V60" s="228"/>
      <c r="W60" s="228"/>
      <c r="X60" s="228"/>
      <c r="Y60" s="228"/>
      <c r="Z60" s="228"/>
      <c r="AA60" s="228"/>
      <c r="AB60" s="228"/>
      <c r="AC60" s="228"/>
      <c r="AD60" s="228"/>
      <c r="AE60" s="228"/>
      <c r="AF60" s="228"/>
      <c r="AG60" s="228"/>
      <c r="AH60" s="228"/>
      <c r="AI60" s="228"/>
      <c r="AJ60" s="228"/>
      <c r="AK60" s="228"/>
      <c r="AL60" s="228"/>
      <c r="AM60" s="228"/>
      <c r="AN60" s="228"/>
      <c r="AO60" s="228"/>
      <c r="AP60" s="228"/>
      <c r="AQ60" s="228"/>
      <c r="AR60" s="228"/>
      <c r="AS60" s="228"/>
      <c r="AT60" s="228"/>
      <c r="AU60" s="228"/>
      <c r="AV60" s="235"/>
    </row>
    <row r="61" spans="1:48" x14ac:dyDescent="0.3">
      <c r="A61" s="231"/>
      <c r="B61" s="228"/>
      <c r="C61" s="228"/>
      <c r="D61" s="228"/>
      <c r="E61" s="228"/>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c r="AK61" s="228"/>
      <c r="AL61" s="228"/>
      <c r="AM61" s="228"/>
      <c r="AN61" s="228"/>
      <c r="AO61" s="228"/>
      <c r="AP61" s="228"/>
      <c r="AQ61" s="228"/>
      <c r="AR61" s="228"/>
      <c r="AS61" s="228"/>
      <c r="AT61" s="228"/>
      <c r="AU61" s="228"/>
      <c r="AV61" s="235"/>
    </row>
    <row r="62" spans="1:48" x14ac:dyDescent="0.3">
      <c r="A62" s="231"/>
      <c r="B62" s="228"/>
      <c r="C62" s="228"/>
      <c r="D62" s="228"/>
      <c r="E62" s="228"/>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c r="AK62" s="228"/>
      <c r="AL62" s="228"/>
      <c r="AM62" s="228"/>
      <c r="AN62" s="228"/>
      <c r="AO62" s="228"/>
      <c r="AP62" s="228"/>
      <c r="AQ62" s="228"/>
      <c r="AR62" s="228"/>
      <c r="AS62" s="228"/>
      <c r="AT62" s="228"/>
      <c r="AU62" s="228"/>
      <c r="AV62" s="235"/>
    </row>
    <row r="63" spans="1:48" x14ac:dyDescent="0.3">
      <c r="A63" s="231"/>
      <c r="B63" s="228"/>
      <c r="C63" s="228"/>
      <c r="D63" s="228"/>
      <c r="E63" s="228"/>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c r="AK63" s="228"/>
      <c r="AL63" s="228"/>
      <c r="AM63" s="228"/>
      <c r="AN63" s="228"/>
      <c r="AO63" s="228"/>
      <c r="AP63" s="228"/>
      <c r="AQ63" s="228"/>
      <c r="AR63" s="228"/>
      <c r="AS63" s="228"/>
      <c r="AT63" s="228"/>
      <c r="AU63" s="228"/>
      <c r="AV63" s="235"/>
    </row>
    <row r="64" spans="1:48" x14ac:dyDescent="0.3">
      <c r="A64" s="231"/>
      <c r="B64" s="228"/>
      <c r="C64" s="228"/>
      <c r="D64" s="228"/>
      <c r="E64" s="228"/>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35"/>
    </row>
    <row r="65" spans="1:48" x14ac:dyDescent="0.3">
      <c r="A65" s="231"/>
      <c r="B65" s="228"/>
      <c r="C65" s="228"/>
      <c r="D65" s="228"/>
      <c r="E65" s="228"/>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c r="AK65" s="228"/>
      <c r="AL65" s="228"/>
      <c r="AM65" s="228"/>
      <c r="AN65" s="228"/>
      <c r="AO65" s="228"/>
      <c r="AP65" s="228"/>
      <c r="AQ65" s="228"/>
      <c r="AR65" s="228"/>
      <c r="AS65" s="228"/>
      <c r="AT65" s="228"/>
      <c r="AU65" s="228"/>
      <c r="AV65" s="235"/>
    </row>
    <row r="66" spans="1:48" x14ac:dyDescent="0.3">
      <c r="A66" s="231"/>
      <c r="B66" s="228"/>
      <c r="C66" s="228"/>
      <c r="D66" s="228"/>
      <c r="E66" s="228"/>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c r="AL66" s="228"/>
      <c r="AM66" s="228"/>
      <c r="AN66" s="228"/>
      <c r="AO66" s="228"/>
      <c r="AP66" s="228"/>
      <c r="AQ66" s="228"/>
      <c r="AR66" s="228"/>
      <c r="AS66" s="228"/>
      <c r="AT66" s="228"/>
      <c r="AU66" s="228"/>
      <c r="AV66" s="235"/>
    </row>
    <row r="67" spans="1:48" x14ac:dyDescent="0.3">
      <c r="A67" s="231"/>
      <c r="B67" s="228"/>
      <c r="C67" s="228"/>
      <c r="D67" s="228"/>
      <c r="E67" s="228"/>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c r="AK67" s="228"/>
      <c r="AL67" s="228"/>
      <c r="AM67" s="228"/>
      <c r="AN67" s="228"/>
      <c r="AO67" s="228"/>
      <c r="AP67" s="228"/>
      <c r="AQ67" s="228"/>
      <c r="AR67" s="228"/>
      <c r="AS67" s="228"/>
      <c r="AT67" s="228"/>
      <c r="AU67" s="228"/>
      <c r="AV67" s="235"/>
    </row>
    <row r="68" spans="1:48" x14ac:dyDescent="0.3">
      <c r="A68" s="231"/>
      <c r="B68" s="228"/>
      <c r="C68" s="228"/>
      <c r="D68" s="228"/>
      <c r="E68" s="228"/>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c r="AK68" s="228"/>
      <c r="AL68" s="228"/>
      <c r="AM68" s="228"/>
      <c r="AN68" s="228"/>
      <c r="AO68" s="228"/>
      <c r="AP68" s="228"/>
      <c r="AQ68" s="228"/>
      <c r="AR68" s="228"/>
      <c r="AS68" s="228"/>
      <c r="AT68" s="228"/>
      <c r="AU68" s="228"/>
      <c r="AV68" s="235"/>
    </row>
    <row r="69" spans="1:48" x14ac:dyDescent="0.3">
      <c r="A69" s="231"/>
      <c r="B69" s="228"/>
      <c r="C69" s="228"/>
      <c r="D69" s="228"/>
      <c r="E69" s="228"/>
      <c r="F69" s="228"/>
      <c r="G69" s="228"/>
      <c r="H69" s="228"/>
      <c r="I69" s="228"/>
      <c r="J69" s="228"/>
      <c r="K69" s="228"/>
      <c r="L69" s="228"/>
      <c r="M69" s="228"/>
      <c r="N69" s="228"/>
      <c r="O69" s="228"/>
      <c r="P69" s="228"/>
      <c r="Q69" s="228"/>
      <c r="R69" s="228"/>
      <c r="S69" s="228"/>
      <c r="T69" s="228"/>
      <c r="U69" s="228"/>
      <c r="V69" s="228"/>
      <c r="W69" s="228"/>
      <c r="X69" s="228"/>
      <c r="Y69" s="228"/>
      <c r="Z69" s="228"/>
      <c r="AA69" s="228"/>
      <c r="AB69" s="228"/>
      <c r="AC69" s="228"/>
      <c r="AD69" s="228"/>
      <c r="AE69" s="228"/>
      <c r="AF69" s="228"/>
      <c r="AG69" s="228"/>
      <c r="AH69" s="228"/>
      <c r="AI69" s="228"/>
      <c r="AJ69" s="228"/>
      <c r="AK69" s="228"/>
      <c r="AL69" s="228"/>
      <c r="AM69" s="228"/>
      <c r="AN69" s="228"/>
      <c r="AO69" s="228"/>
      <c r="AP69" s="228"/>
      <c r="AQ69" s="228"/>
      <c r="AR69" s="228"/>
      <c r="AS69" s="228"/>
      <c r="AT69" s="228"/>
      <c r="AU69" s="228"/>
      <c r="AV69" s="235"/>
    </row>
    <row r="70" spans="1:48" x14ac:dyDescent="0.3">
      <c r="A70" s="231"/>
      <c r="B70" s="228"/>
      <c r="C70" s="228"/>
      <c r="D70" s="228"/>
      <c r="E70" s="228"/>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c r="AK70" s="228"/>
      <c r="AL70" s="228"/>
      <c r="AM70" s="228"/>
      <c r="AN70" s="228"/>
      <c r="AO70" s="228"/>
      <c r="AP70" s="228"/>
      <c r="AQ70" s="228"/>
      <c r="AR70" s="228"/>
      <c r="AS70" s="228"/>
      <c r="AT70" s="228"/>
      <c r="AU70" s="228"/>
      <c r="AV70" s="235"/>
    </row>
    <row r="71" spans="1:48" x14ac:dyDescent="0.3">
      <c r="A71" s="231"/>
      <c r="B71" s="228"/>
      <c r="C71" s="228"/>
      <c r="D71" s="228"/>
      <c r="E71" s="228"/>
      <c r="F71" s="228"/>
      <c r="G71" s="228"/>
      <c r="H71" s="228"/>
      <c r="I71" s="228"/>
      <c r="J71" s="228"/>
      <c r="K71" s="228"/>
      <c r="L71" s="228"/>
      <c r="M71" s="228"/>
      <c r="N71" s="228"/>
      <c r="O71" s="228"/>
      <c r="P71" s="228"/>
      <c r="Q71" s="228"/>
      <c r="R71" s="228"/>
      <c r="S71" s="228"/>
      <c r="T71" s="228"/>
      <c r="U71" s="228"/>
      <c r="V71" s="228"/>
      <c r="W71" s="228"/>
      <c r="X71" s="228"/>
      <c r="Y71" s="228"/>
      <c r="Z71" s="228"/>
      <c r="AA71" s="228"/>
      <c r="AB71" s="228"/>
      <c r="AC71" s="228"/>
      <c r="AD71" s="228"/>
      <c r="AE71" s="228"/>
      <c r="AF71" s="228"/>
      <c r="AG71" s="228"/>
      <c r="AH71" s="228"/>
      <c r="AI71" s="228"/>
      <c r="AJ71" s="228"/>
      <c r="AK71" s="228"/>
      <c r="AL71" s="228"/>
      <c r="AM71" s="228"/>
      <c r="AN71" s="228"/>
      <c r="AO71" s="228"/>
      <c r="AP71" s="228"/>
      <c r="AQ71" s="228"/>
      <c r="AR71" s="228"/>
      <c r="AS71" s="228"/>
      <c r="AT71" s="228"/>
      <c r="AU71" s="228"/>
      <c r="AV71" s="235"/>
    </row>
    <row r="72" spans="1:48" x14ac:dyDescent="0.3">
      <c r="A72" s="231"/>
      <c r="B72" s="228"/>
      <c r="C72" s="228"/>
      <c r="D72" s="228"/>
      <c r="E72" s="228"/>
      <c r="F72" s="228"/>
      <c r="G72" s="228"/>
      <c r="H72" s="228"/>
      <c r="I72" s="228"/>
      <c r="J72" s="228"/>
      <c r="K72" s="228"/>
      <c r="L72" s="228"/>
      <c r="M72" s="228"/>
      <c r="N72" s="228"/>
      <c r="O72" s="228"/>
      <c r="P72" s="228"/>
      <c r="Q72" s="228"/>
      <c r="R72" s="228"/>
      <c r="S72" s="228"/>
      <c r="T72" s="228"/>
      <c r="U72" s="228"/>
      <c r="V72" s="228"/>
      <c r="W72" s="228"/>
      <c r="X72" s="228"/>
      <c r="Y72" s="228"/>
      <c r="Z72" s="228"/>
      <c r="AA72" s="228"/>
      <c r="AB72" s="228"/>
      <c r="AC72" s="228"/>
      <c r="AD72" s="228"/>
      <c r="AE72" s="228"/>
      <c r="AF72" s="228"/>
      <c r="AG72" s="228"/>
      <c r="AH72" s="228"/>
      <c r="AI72" s="228"/>
      <c r="AJ72" s="228"/>
      <c r="AK72" s="228"/>
      <c r="AL72" s="228"/>
      <c r="AM72" s="228"/>
      <c r="AN72" s="228"/>
      <c r="AO72" s="228"/>
      <c r="AP72" s="228"/>
      <c r="AQ72" s="228"/>
      <c r="AR72" s="228"/>
      <c r="AS72" s="228"/>
      <c r="AT72" s="228"/>
      <c r="AU72" s="228"/>
      <c r="AV72" s="235"/>
    </row>
    <row r="73" spans="1:48" x14ac:dyDescent="0.3">
      <c r="A73" s="231"/>
      <c r="B73" s="228"/>
      <c r="C73" s="228"/>
      <c r="D73" s="228"/>
      <c r="E73" s="228"/>
      <c r="F73" s="228"/>
      <c r="G73" s="228"/>
      <c r="H73" s="228"/>
      <c r="I73" s="228"/>
      <c r="J73" s="228"/>
      <c r="K73" s="228"/>
      <c r="L73" s="228"/>
      <c r="M73" s="228"/>
      <c r="N73" s="228"/>
      <c r="O73" s="228"/>
      <c r="P73" s="228"/>
      <c r="Q73" s="228"/>
      <c r="R73" s="228"/>
      <c r="S73" s="228"/>
      <c r="T73" s="228"/>
      <c r="U73" s="228"/>
      <c r="V73" s="228"/>
      <c r="W73" s="228"/>
      <c r="X73" s="228"/>
      <c r="Y73" s="228"/>
      <c r="Z73" s="228"/>
      <c r="AA73" s="228"/>
      <c r="AB73" s="228"/>
      <c r="AC73" s="228"/>
      <c r="AD73" s="228"/>
      <c r="AE73" s="228"/>
      <c r="AF73" s="228"/>
      <c r="AG73" s="228"/>
      <c r="AH73" s="228"/>
      <c r="AI73" s="228"/>
      <c r="AJ73" s="228"/>
      <c r="AK73" s="228"/>
      <c r="AL73" s="228"/>
      <c r="AM73" s="228"/>
      <c r="AN73" s="228"/>
      <c r="AO73" s="228"/>
      <c r="AP73" s="228"/>
      <c r="AQ73" s="228"/>
      <c r="AR73" s="228"/>
      <c r="AS73" s="228"/>
      <c r="AT73" s="228"/>
      <c r="AU73" s="228"/>
      <c r="AV73" s="235"/>
    </row>
    <row r="74" spans="1:48" x14ac:dyDescent="0.3">
      <c r="A74" s="231"/>
      <c r="B74" s="228"/>
      <c r="C74" s="228"/>
      <c r="D74" s="228"/>
      <c r="E74" s="228"/>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c r="AK74" s="228"/>
      <c r="AL74" s="228"/>
      <c r="AM74" s="228"/>
      <c r="AN74" s="228"/>
      <c r="AO74" s="228"/>
      <c r="AP74" s="228"/>
      <c r="AQ74" s="228"/>
      <c r="AR74" s="228"/>
      <c r="AS74" s="228"/>
      <c r="AT74" s="228"/>
      <c r="AU74" s="228"/>
      <c r="AV74" s="235"/>
    </row>
    <row r="75" spans="1:48" x14ac:dyDescent="0.3">
      <c r="A75" s="231"/>
      <c r="B75" s="228"/>
      <c r="C75" s="228"/>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c r="AD75" s="228"/>
      <c r="AE75" s="228"/>
      <c r="AF75" s="228"/>
      <c r="AG75" s="228"/>
      <c r="AH75" s="228"/>
      <c r="AI75" s="228"/>
      <c r="AJ75" s="228"/>
      <c r="AK75" s="228"/>
      <c r="AL75" s="228"/>
      <c r="AM75" s="228"/>
      <c r="AN75" s="228"/>
      <c r="AO75" s="228"/>
      <c r="AP75" s="228"/>
      <c r="AQ75" s="228"/>
      <c r="AR75" s="228"/>
      <c r="AS75" s="228"/>
      <c r="AT75" s="228"/>
      <c r="AU75" s="228"/>
      <c r="AV75" s="235"/>
    </row>
    <row r="76" spans="1:48" x14ac:dyDescent="0.3">
      <c r="A76" s="231"/>
      <c r="B76" s="228"/>
      <c r="C76" s="228"/>
      <c r="D76" s="228"/>
      <c r="E76" s="228"/>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c r="AK76" s="228"/>
      <c r="AL76" s="228"/>
      <c r="AM76" s="228"/>
      <c r="AN76" s="228"/>
      <c r="AO76" s="228"/>
      <c r="AP76" s="228"/>
      <c r="AQ76" s="228"/>
      <c r="AR76" s="228"/>
      <c r="AS76" s="228"/>
      <c r="AT76" s="228"/>
      <c r="AU76" s="228"/>
      <c r="AV76" s="235"/>
    </row>
    <row r="77" spans="1:48" x14ac:dyDescent="0.3">
      <c r="A77" s="231"/>
      <c r="B77" s="228"/>
      <c r="C77" s="228"/>
      <c r="D77" s="228"/>
      <c r="E77" s="228"/>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c r="AK77" s="228"/>
      <c r="AL77" s="228"/>
      <c r="AM77" s="228"/>
      <c r="AN77" s="228"/>
      <c r="AO77" s="228"/>
      <c r="AP77" s="228"/>
      <c r="AQ77" s="228"/>
      <c r="AR77" s="228"/>
      <c r="AS77" s="228"/>
      <c r="AT77" s="228"/>
      <c r="AU77" s="228"/>
      <c r="AV77" s="235"/>
    </row>
    <row r="78" spans="1:48" x14ac:dyDescent="0.3">
      <c r="A78" s="231"/>
      <c r="B78" s="228"/>
      <c r="C78" s="228"/>
      <c r="D78" s="228"/>
      <c r="E78" s="228"/>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c r="AK78" s="228"/>
      <c r="AL78" s="228"/>
      <c r="AM78" s="228"/>
      <c r="AN78" s="228"/>
      <c r="AO78" s="228"/>
      <c r="AP78" s="228"/>
      <c r="AQ78" s="228"/>
      <c r="AR78" s="228"/>
      <c r="AS78" s="228"/>
      <c r="AT78" s="228"/>
      <c r="AU78" s="228"/>
      <c r="AV78" s="235"/>
    </row>
    <row r="79" spans="1:48" x14ac:dyDescent="0.3">
      <c r="A79" s="231"/>
      <c r="B79" s="228"/>
      <c r="C79" s="228"/>
      <c r="D79" s="228"/>
      <c r="E79" s="228"/>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c r="AK79" s="228"/>
      <c r="AL79" s="228"/>
      <c r="AM79" s="228"/>
      <c r="AN79" s="228"/>
      <c r="AO79" s="228"/>
      <c r="AP79" s="228"/>
      <c r="AQ79" s="228"/>
      <c r="AR79" s="228"/>
      <c r="AS79" s="228"/>
      <c r="AT79" s="228"/>
      <c r="AU79" s="228"/>
      <c r="AV79" s="235"/>
    </row>
    <row r="80" spans="1:48" x14ac:dyDescent="0.3">
      <c r="A80" s="231"/>
      <c r="B80" s="228"/>
      <c r="C80" s="228"/>
      <c r="D80" s="228"/>
      <c r="E80" s="228"/>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c r="AK80" s="228"/>
      <c r="AL80" s="228"/>
      <c r="AM80" s="228"/>
      <c r="AN80" s="228"/>
      <c r="AO80" s="228"/>
      <c r="AP80" s="228"/>
      <c r="AQ80" s="228"/>
      <c r="AR80" s="228"/>
      <c r="AS80" s="228"/>
      <c r="AT80" s="228"/>
      <c r="AU80" s="228"/>
      <c r="AV80" s="235"/>
    </row>
    <row r="81" spans="1:48" x14ac:dyDescent="0.3">
      <c r="A81" s="231"/>
      <c r="B81" s="228"/>
      <c r="C81" s="228"/>
      <c r="D81" s="228"/>
      <c r="E81" s="228"/>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c r="AK81" s="228"/>
      <c r="AL81" s="228"/>
      <c r="AM81" s="228"/>
      <c r="AN81" s="228"/>
      <c r="AO81" s="228"/>
      <c r="AP81" s="228"/>
      <c r="AQ81" s="228"/>
      <c r="AR81" s="228"/>
      <c r="AS81" s="228"/>
      <c r="AT81" s="228"/>
      <c r="AU81" s="228"/>
      <c r="AV81" s="235"/>
    </row>
    <row r="82" spans="1:48" x14ac:dyDescent="0.3">
      <c r="A82" s="231"/>
      <c r="B82" s="228"/>
      <c r="C82" s="228"/>
      <c r="D82" s="228"/>
      <c r="E82" s="228"/>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c r="AK82" s="228"/>
      <c r="AL82" s="228"/>
      <c r="AM82" s="228"/>
      <c r="AN82" s="228"/>
      <c r="AO82" s="228"/>
      <c r="AP82" s="228"/>
      <c r="AQ82" s="228"/>
      <c r="AR82" s="228"/>
      <c r="AS82" s="228"/>
      <c r="AT82" s="228"/>
      <c r="AU82" s="228"/>
      <c r="AV82" s="235"/>
    </row>
    <row r="83" spans="1:48" x14ac:dyDescent="0.3">
      <c r="A83" s="231"/>
      <c r="B83" s="228"/>
      <c r="C83" s="228"/>
      <c r="D83" s="228"/>
      <c r="E83" s="228"/>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c r="AK83" s="228"/>
      <c r="AL83" s="228"/>
      <c r="AM83" s="228"/>
      <c r="AN83" s="228"/>
      <c r="AO83" s="228"/>
      <c r="AP83" s="228"/>
      <c r="AQ83" s="228"/>
      <c r="AR83" s="228"/>
      <c r="AS83" s="228"/>
      <c r="AT83" s="228"/>
      <c r="AU83" s="228"/>
      <c r="AV83" s="235"/>
    </row>
    <row r="84" spans="1:48" x14ac:dyDescent="0.3">
      <c r="A84" s="231"/>
      <c r="B84" s="228"/>
      <c r="C84" s="228"/>
      <c r="D84" s="228"/>
      <c r="E84" s="228"/>
      <c r="F84" s="228"/>
      <c r="G84" s="228"/>
      <c r="H84" s="228"/>
      <c r="I84" s="228"/>
      <c r="J84" s="228"/>
      <c r="K84" s="228"/>
      <c r="L84" s="228"/>
      <c r="M84" s="228"/>
      <c r="N84" s="228"/>
      <c r="O84" s="228"/>
      <c r="P84" s="228"/>
      <c r="Q84" s="228"/>
      <c r="R84" s="228"/>
      <c r="S84" s="228"/>
      <c r="T84" s="228"/>
      <c r="U84" s="228"/>
      <c r="V84" s="228"/>
      <c r="W84" s="228"/>
      <c r="X84" s="228"/>
      <c r="Y84" s="228"/>
      <c r="Z84" s="228"/>
      <c r="AA84" s="228"/>
      <c r="AB84" s="228"/>
      <c r="AC84" s="228"/>
      <c r="AD84" s="228"/>
      <c r="AE84" s="228"/>
      <c r="AF84" s="228"/>
      <c r="AG84" s="228"/>
      <c r="AH84" s="228"/>
      <c r="AI84" s="228"/>
      <c r="AJ84" s="228"/>
      <c r="AK84" s="228"/>
      <c r="AL84" s="228"/>
      <c r="AM84" s="228"/>
      <c r="AN84" s="228"/>
      <c r="AO84" s="228"/>
      <c r="AP84" s="228"/>
      <c r="AQ84" s="228"/>
      <c r="AR84" s="228"/>
      <c r="AS84" s="228"/>
      <c r="AT84" s="228"/>
      <c r="AU84" s="228"/>
      <c r="AV84" s="235"/>
    </row>
    <row r="85" spans="1:48" x14ac:dyDescent="0.3">
      <c r="A85" s="231"/>
      <c r="B85" s="228"/>
      <c r="C85" s="228"/>
      <c r="D85" s="228"/>
      <c r="E85" s="228"/>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c r="AK85" s="228"/>
      <c r="AL85" s="228"/>
      <c r="AM85" s="228"/>
      <c r="AN85" s="228"/>
      <c r="AO85" s="228"/>
      <c r="AP85" s="228"/>
      <c r="AQ85" s="228"/>
      <c r="AR85" s="228"/>
      <c r="AS85" s="228"/>
      <c r="AT85" s="228"/>
      <c r="AU85" s="228"/>
      <c r="AV85" s="235"/>
    </row>
    <row r="86" spans="1:48" x14ac:dyDescent="0.3">
      <c r="A86" s="231"/>
      <c r="B86" s="228"/>
      <c r="C86" s="228"/>
      <c r="D86" s="228"/>
      <c r="E86" s="228"/>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c r="AK86" s="228"/>
      <c r="AL86" s="228"/>
      <c r="AM86" s="228"/>
      <c r="AN86" s="228"/>
      <c r="AO86" s="228"/>
      <c r="AP86" s="228"/>
      <c r="AQ86" s="228"/>
      <c r="AR86" s="228"/>
      <c r="AS86" s="228"/>
      <c r="AT86" s="228"/>
      <c r="AU86" s="228"/>
      <c r="AV86" s="235"/>
    </row>
    <row r="87" spans="1:48" x14ac:dyDescent="0.3">
      <c r="A87" s="231"/>
      <c r="B87" s="228"/>
      <c r="C87" s="228"/>
      <c r="D87" s="228"/>
      <c r="E87" s="228"/>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c r="AK87" s="228"/>
      <c r="AL87" s="228"/>
      <c r="AM87" s="228"/>
      <c r="AN87" s="228"/>
      <c r="AO87" s="228"/>
      <c r="AP87" s="228"/>
      <c r="AQ87" s="228"/>
      <c r="AR87" s="228"/>
      <c r="AS87" s="228"/>
      <c r="AT87" s="228"/>
      <c r="AU87" s="228"/>
      <c r="AV87" s="235"/>
    </row>
    <row r="88" spans="1:48" x14ac:dyDescent="0.3">
      <c r="A88" s="231"/>
      <c r="B88" s="228"/>
      <c r="C88" s="228"/>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c r="AK88" s="228"/>
      <c r="AL88" s="228"/>
      <c r="AM88" s="228"/>
      <c r="AN88" s="228"/>
      <c r="AO88" s="228"/>
      <c r="AP88" s="228"/>
      <c r="AQ88" s="228"/>
      <c r="AR88" s="228"/>
      <c r="AS88" s="228"/>
      <c r="AT88" s="228"/>
      <c r="AU88" s="228"/>
      <c r="AV88" s="235"/>
    </row>
    <row r="89" spans="1:48" x14ac:dyDescent="0.3">
      <c r="A89" s="231"/>
      <c r="B89" s="228"/>
      <c r="C89" s="228"/>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c r="AL89" s="228"/>
      <c r="AM89" s="228"/>
      <c r="AN89" s="228"/>
      <c r="AO89" s="228"/>
      <c r="AP89" s="228"/>
      <c r="AQ89" s="228"/>
      <c r="AR89" s="228"/>
      <c r="AS89" s="228"/>
      <c r="AT89" s="228"/>
      <c r="AU89" s="228"/>
      <c r="AV89" s="235"/>
    </row>
    <row r="90" spans="1:48" x14ac:dyDescent="0.3">
      <c r="A90" s="231"/>
      <c r="B90" s="228"/>
      <c r="C90" s="228"/>
      <c r="D90" s="228"/>
      <c r="E90" s="228"/>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35"/>
    </row>
    <row r="91" spans="1:48" x14ac:dyDescent="0.3">
      <c r="A91" s="231"/>
      <c r="B91" s="228"/>
      <c r="C91" s="228"/>
      <c r="D91" s="228"/>
      <c r="E91" s="228"/>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35"/>
    </row>
    <row r="92" spans="1:48" ht="15" thickBot="1" x14ac:dyDescent="0.35">
      <c r="A92" s="232"/>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c r="AA92" s="233"/>
      <c r="AB92" s="233"/>
      <c r="AC92" s="233"/>
      <c r="AD92" s="233"/>
      <c r="AE92" s="233"/>
      <c r="AF92" s="233"/>
      <c r="AG92" s="233"/>
      <c r="AH92" s="233"/>
      <c r="AI92" s="233"/>
      <c r="AJ92" s="233"/>
      <c r="AK92" s="233"/>
      <c r="AL92" s="233"/>
      <c r="AM92" s="233"/>
      <c r="AN92" s="233"/>
      <c r="AO92" s="233"/>
      <c r="AP92" s="233"/>
      <c r="AQ92" s="233"/>
      <c r="AR92" s="233"/>
      <c r="AS92" s="233"/>
      <c r="AT92" s="233"/>
      <c r="AU92" s="233"/>
      <c r="AV92" s="236"/>
    </row>
    <row r="93" spans="1:48" x14ac:dyDescent="0.3">
      <c r="A93" s="225" t="s">
        <v>191</v>
      </c>
      <c r="B93" s="226"/>
      <c r="C93" s="226"/>
      <c r="D93" s="226"/>
      <c r="E93" s="226"/>
      <c r="F93" s="226"/>
      <c r="G93" s="226"/>
      <c r="H93" s="226"/>
      <c r="I93" s="226"/>
      <c r="J93" s="226"/>
      <c r="K93" s="226"/>
      <c r="L93" s="226"/>
      <c r="M93" s="226"/>
      <c r="N93" s="226"/>
      <c r="O93" s="226"/>
      <c r="P93" s="226"/>
      <c r="Q93" s="226"/>
      <c r="R93" s="226"/>
      <c r="S93" s="226"/>
      <c r="T93" s="226"/>
      <c r="U93" s="226"/>
      <c r="V93" s="226"/>
      <c r="W93" s="226"/>
      <c r="X93" s="226"/>
      <c r="Y93" s="226"/>
      <c r="Z93" s="234"/>
      <c r="AA93" s="6"/>
      <c r="AB93" s="6"/>
      <c r="AC93" s="6"/>
      <c r="AD93" s="6"/>
      <c r="AE93" s="6"/>
      <c r="AF93" s="6"/>
      <c r="AG93" s="6"/>
      <c r="AH93" s="6"/>
      <c r="AI93" s="6"/>
      <c r="AJ93" s="6"/>
      <c r="AK93" s="6"/>
      <c r="AL93" s="6"/>
      <c r="AM93" s="6"/>
      <c r="AN93" s="6"/>
      <c r="AO93" s="6"/>
      <c r="AP93" s="6"/>
      <c r="AQ93" s="6"/>
      <c r="AR93" s="6"/>
      <c r="AS93" s="6"/>
      <c r="AT93" s="6"/>
      <c r="AU93" s="6"/>
      <c r="AV93" s="6"/>
    </row>
    <row r="94" spans="1:48" x14ac:dyDescent="0.3">
      <c r="A94" s="227" t="s">
        <v>224</v>
      </c>
      <c r="B94" s="228"/>
      <c r="C94" s="228"/>
      <c r="D94" s="228"/>
      <c r="E94" s="228"/>
      <c r="F94" s="228"/>
      <c r="G94" s="228"/>
      <c r="H94" s="228"/>
      <c r="I94" s="228"/>
      <c r="J94" s="228"/>
      <c r="K94" s="228"/>
      <c r="L94" s="228"/>
      <c r="M94" s="228"/>
      <c r="N94" s="228"/>
      <c r="O94" s="228"/>
      <c r="P94" s="228"/>
      <c r="Q94" s="228"/>
      <c r="R94" s="228"/>
      <c r="S94" s="228"/>
      <c r="T94" s="228"/>
      <c r="U94" s="228"/>
      <c r="V94" s="228"/>
      <c r="W94" s="228"/>
      <c r="X94" s="228"/>
      <c r="Y94" s="228"/>
      <c r="Z94" s="235"/>
    </row>
    <row r="95" spans="1:48" ht="89.4" customHeight="1" x14ac:dyDescent="0.3">
      <c r="A95" s="229" t="s">
        <v>192</v>
      </c>
      <c r="B95" s="344" t="s">
        <v>236</v>
      </c>
      <c r="C95" s="344"/>
      <c r="D95" s="344"/>
      <c r="E95" s="344"/>
      <c r="F95" s="344"/>
      <c r="G95" s="344"/>
      <c r="H95" s="344"/>
      <c r="I95" s="344"/>
      <c r="J95" s="344"/>
      <c r="K95" s="344"/>
      <c r="L95" s="344"/>
      <c r="M95" s="228"/>
      <c r="N95" s="228"/>
      <c r="O95" s="209" t="s">
        <v>118</v>
      </c>
      <c r="P95" s="209" t="s">
        <v>140</v>
      </c>
      <c r="Q95" s="209" t="s">
        <v>141</v>
      </c>
      <c r="R95" s="209" t="s">
        <v>142</v>
      </c>
      <c r="S95" s="228"/>
      <c r="T95" s="228"/>
      <c r="U95" s="228"/>
      <c r="V95" s="228"/>
      <c r="W95" s="228"/>
      <c r="X95" s="228"/>
      <c r="Y95" s="228"/>
      <c r="Z95" s="235"/>
    </row>
    <row r="96" spans="1:48" x14ac:dyDescent="0.3">
      <c r="A96" s="230"/>
      <c r="B96" s="344"/>
      <c r="C96" s="344"/>
      <c r="D96" s="344"/>
      <c r="E96" s="344"/>
      <c r="F96" s="344"/>
      <c r="G96" s="344"/>
      <c r="H96" s="344"/>
      <c r="I96" s="344"/>
      <c r="J96" s="344"/>
      <c r="K96" s="344"/>
      <c r="L96" s="344"/>
      <c r="M96" s="228"/>
      <c r="N96" s="209" t="s">
        <v>197</v>
      </c>
      <c r="O96" s="207">
        <v>293.12209487147652</v>
      </c>
      <c r="P96" s="207">
        <v>269.7</v>
      </c>
      <c r="Q96" s="207">
        <v>274.8</v>
      </c>
      <c r="R96" s="207">
        <v>247.6</v>
      </c>
      <c r="S96" s="228"/>
      <c r="T96" s="228"/>
      <c r="U96" s="228"/>
      <c r="V96" s="228"/>
      <c r="W96" s="228"/>
      <c r="X96" s="228"/>
      <c r="Y96" s="228"/>
      <c r="Z96" s="235"/>
    </row>
    <row r="97" spans="1:61" ht="34.200000000000003" customHeight="1" x14ac:dyDescent="0.3">
      <c r="A97" s="231"/>
      <c r="B97" s="343" t="s">
        <v>239</v>
      </c>
      <c r="C97" s="343"/>
      <c r="D97" s="343"/>
      <c r="E97" s="343"/>
      <c r="F97" s="343"/>
      <c r="G97" s="343"/>
      <c r="H97" s="343"/>
      <c r="I97" s="343"/>
      <c r="J97" s="343"/>
      <c r="K97" s="343"/>
      <c r="L97" s="343"/>
      <c r="M97" s="228"/>
      <c r="N97" s="209" t="s">
        <v>196</v>
      </c>
      <c r="O97" s="207">
        <v>317.52740035529621</v>
      </c>
      <c r="P97" s="207">
        <v>289.10000000000002</v>
      </c>
      <c r="Q97" s="207">
        <v>302.7</v>
      </c>
      <c r="R97" s="207">
        <v>262.39999999999998</v>
      </c>
      <c r="S97" s="228"/>
      <c r="T97" s="228"/>
      <c r="U97" s="228"/>
      <c r="V97" s="228"/>
      <c r="W97" s="228"/>
      <c r="X97" s="228"/>
      <c r="Y97" s="228"/>
      <c r="Z97" s="235"/>
    </row>
    <row r="98" spans="1:61" ht="14.4" customHeight="1" x14ac:dyDescent="0.3">
      <c r="A98" s="231"/>
      <c r="B98" s="343"/>
      <c r="C98" s="343"/>
      <c r="D98" s="343"/>
      <c r="E98" s="343"/>
      <c r="F98" s="343"/>
      <c r="G98" s="343"/>
      <c r="H98" s="343"/>
      <c r="I98" s="343"/>
      <c r="J98" s="343"/>
      <c r="K98" s="343"/>
      <c r="L98" s="343"/>
      <c r="M98" s="228"/>
      <c r="N98" s="239" t="s">
        <v>194</v>
      </c>
      <c r="O98" s="207">
        <f>O97-O96</f>
        <v>24.405305483819689</v>
      </c>
      <c r="P98" s="207">
        <f t="shared" ref="P98:R98" si="11">P97-P96</f>
        <v>19.400000000000034</v>
      </c>
      <c r="Q98" s="207">
        <f t="shared" si="11"/>
        <v>27.899999999999977</v>
      </c>
      <c r="R98" s="247">
        <f t="shared" si="11"/>
        <v>14.799999999999983</v>
      </c>
      <c r="S98" s="228"/>
      <c r="T98" s="228"/>
      <c r="U98" s="228"/>
      <c r="V98" s="228"/>
      <c r="W98" s="228"/>
      <c r="X98" s="228"/>
      <c r="Y98" s="228"/>
      <c r="Z98" s="235"/>
    </row>
    <row r="99" spans="1:61" ht="28.2" customHeight="1" x14ac:dyDescent="0.3">
      <c r="A99" s="231"/>
      <c r="B99" s="343"/>
      <c r="C99" s="343"/>
      <c r="D99" s="343"/>
      <c r="E99" s="343"/>
      <c r="F99" s="343"/>
      <c r="G99" s="343"/>
      <c r="H99" s="343"/>
      <c r="I99" s="343"/>
      <c r="J99" s="343"/>
      <c r="K99" s="343"/>
      <c r="L99" s="343"/>
      <c r="M99" s="228"/>
      <c r="N99" s="228"/>
      <c r="O99" s="209" t="s">
        <v>118</v>
      </c>
      <c r="P99" s="209" t="s">
        <v>140</v>
      </c>
      <c r="Q99" s="209" t="s">
        <v>141</v>
      </c>
      <c r="R99" s="209" t="s">
        <v>142</v>
      </c>
      <c r="S99" s="228"/>
      <c r="T99" s="228"/>
      <c r="U99" s="228"/>
      <c r="V99" s="228"/>
      <c r="W99" s="228"/>
      <c r="X99" s="228"/>
      <c r="Y99" s="228"/>
      <c r="Z99" s="235"/>
    </row>
    <row r="100" spans="1:61" x14ac:dyDescent="0.3">
      <c r="A100" s="231"/>
      <c r="B100" s="228"/>
      <c r="C100" s="228"/>
      <c r="D100" s="228"/>
      <c r="E100" s="228"/>
      <c r="F100" s="228"/>
      <c r="G100" s="228"/>
      <c r="H100" s="228"/>
      <c r="I100" s="228"/>
      <c r="J100" s="228"/>
      <c r="K100" s="228"/>
      <c r="L100" s="228"/>
      <c r="M100" s="228"/>
      <c r="N100" s="211" t="s">
        <v>198</v>
      </c>
      <c r="O100" s="207">
        <v>4023.0400641921001</v>
      </c>
      <c r="P100" s="127">
        <v>4049</v>
      </c>
      <c r="Q100" s="127">
        <v>4007</v>
      </c>
      <c r="R100" s="127">
        <v>4101</v>
      </c>
      <c r="S100" s="228"/>
      <c r="T100" s="228"/>
      <c r="U100" s="228"/>
      <c r="V100" s="228"/>
      <c r="W100" s="228"/>
      <c r="X100" s="228"/>
      <c r="Y100" s="228"/>
      <c r="Z100" s="235"/>
    </row>
    <row r="101" spans="1:61" ht="28.8" customHeight="1" x14ac:dyDescent="0.3">
      <c r="A101" s="250" t="s">
        <v>238</v>
      </c>
      <c r="B101" s="344" t="s">
        <v>240</v>
      </c>
      <c r="C101" s="344"/>
      <c r="D101" s="344"/>
      <c r="E101" s="344"/>
      <c r="F101" s="344"/>
      <c r="G101" s="344"/>
      <c r="H101" s="344"/>
      <c r="I101" s="344"/>
      <c r="J101" s="344"/>
      <c r="K101" s="344"/>
      <c r="L101" s="344"/>
      <c r="M101" s="228"/>
      <c r="N101" s="211" t="s">
        <v>199</v>
      </c>
      <c r="O101" s="207">
        <v>4861.6763761272996</v>
      </c>
      <c r="P101" s="127">
        <v>4906</v>
      </c>
      <c r="Q101" s="127">
        <v>4853</v>
      </c>
      <c r="R101" s="127">
        <v>4928</v>
      </c>
      <c r="S101" s="228"/>
      <c r="T101" s="228"/>
      <c r="U101" s="228"/>
      <c r="V101" s="228"/>
      <c r="W101" s="228"/>
      <c r="X101" s="228"/>
      <c r="Y101" s="228"/>
      <c r="Z101" s="235"/>
    </row>
    <row r="102" spans="1:61" ht="30.6" customHeight="1" x14ac:dyDescent="0.3">
      <c r="A102" s="223" t="s">
        <v>193</v>
      </c>
      <c r="B102" s="344"/>
      <c r="C102" s="344"/>
      <c r="D102" s="344"/>
      <c r="E102" s="344"/>
      <c r="F102" s="344"/>
      <c r="G102" s="344"/>
      <c r="H102" s="344"/>
      <c r="I102" s="344"/>
      <c r="J102" s="344"/>
      <c r="K102" s="344"/>
      <c r="L102" s="344"/>
      <c r="M102" s="228"/>
      <c r="N102" s="224" t="s">
        <v>200</v>
      </c>
      <c r="O102" s="207">
        <f t="shared" ref="O102:R102" si="12">O101-O100</f>
        <v>838.6363119351995</v>
      </c>
      <c r="P102" s="207">
        <f t="shared" si="12"/>
        <v>857</v>
      </c>
      <c r="Q102" s="207">
        <f t="shared" si="12"/>
        <v>846</v>
      </c>
      <c r="R102" s="207">
        <f t="shared" si="12"/>
        <v>827</v>
      </c>
      <c r="S102" s="228"/>
      <c r="T102" s="228"/>
      <c r="U102" s="228"/>
      <c r="V102" s="228"/>
      <c r="W102" s="228"/>
      <c r="X102" s="228"/>
      <c r="Y102" s="228"/>
      <c r="Z102" s="235"/>
    </row>
    <row r="103" spans="1:61" x14ac:dyDescent="0.3">
      <c r="A103" s="231"/>
      <c r="B103" s="344"/>
      <c r="C103" s="344"/>
      <c r="D103" s="344"/>
      <c r="E103" s="344"/>
      <c r="F103" s="344"/>
      <c r="G103" s="344"/>
      <c r="H103" s="344"/>
      <c r="I103" s="344"/>
      <c r="J103" s="344"/>
      <c r="K103" s="344"/>
      <c r="L103" s="344"/>
      <c r="M103" s="228"/>
      <c r="N103" s="251" t="s">
        <v>237</v>
      </c>
      <c r="O103" s="208">
        <f>O102/O98</f>
        <v>34.362868864362362</v>
      </c>
      <c r="P103" s="208">
        <f>P102/P98</f>
        <v>44.175257731958688</v>
      </c>
      <c r="Q103" s="208">
        <f>Q102/Q98</f>
        <v>30.322580645161317</v>
      </c>
      <c r="R103" s="208">
        <f>R102/R98</f>
        <v>55.878378378378443</v>
      </c>
      <c r="S103" s="228"/>
      <c r="T103" s="228"/>
      <c r="U103" s="228"/>
      <c r="V103" s="228"/>
      <c r="W103" s="228"/>
      <c r="X103" s="228"/>
      <c r="Y103" s="228"/>
      <c r="Z103" s="235"/>
    </row>
    <row r="104" spans="1:61" x14ac:dyDescent="0.3">
      <c r="A104" s="231"/>
      <c r="B104" s="344"/>
      <c r="C104" s="344"/>
      <c r="D104" s="344"/>
      <c r="E104" s="344"/>
      <c r="F104" s="344"/>
      <c r="G104" s="344"/>
      <c r="H104" s="344"/>
      <c r="I104" s="344"/>
      <c r="J104" s="344"/>
      <c r="K104" s="344"/>
      <c r="L104" s="344"/>
      <c r="M104" s="228"/>
      <c r="N104" s="228"/>
      <c r="O104" s="228"/>
      <c r="P104" s="228"/>
      <c r="Q104" s="228"/>
      <c r="R104" s="228"/>
      <c r="S104" s="228"/>
      <c r="T104" s="228"/>
      <c r="U104" s="228"/>
      <c r="V104" s="228"/>
      <c r="W104" s="228"/>
      <c r="X104" s="228"/>
      <c r="Y104" s="228"/>
      <c r="Z104" s="235"/>
    </row>
    <row r="105" spans="1:61" x14ac:dyDescent="0.3">
      <c r="A105" s="231"/>
      <c r="B105" s="344"/>
      <c r="C105" s="344"/>
      <c r="D105" s="344"/>
      <c r="E105" s="344"/>
      <c r="F105" s="344"/>
      <c r="G105" s="344"/>
      <c r="H105" s="344"/>
      <c r="I105" s="344"/>
      <c r="J105" s="344"/>
      <c r="K105" s="344"/>
      <c r="L105" s="344"/>
      <c r="M105" s="228"/>
      <c r="N105" s="228"/>
      <c r="O105" s="228"/>
      <c r="P105" s="228"/>
      <c r="Q105" s="228"/>
      <c r="R105" s="228"/>
      <c r="S105" s="228"/>
      <c r="T105" s="228"/>
      <c r="U105" s="228"/>
      <c r="V105" s="228"/>
      <c r="W105" s="228"/>
      <c r="X105" s="228"/>
      <c r="Y105" s="228"/>
      <c r="Z105" s="235"/>
    </row>
    <row r="106" spans="1:61" x14ac:dyDescent="0.3">
      <c r="A106" s="231"/>
      <c r="B106" s="344"/>
      <c r="C106" s="344"/>
      <c r="D106" s="344"/>
      <c r="E106" s="344"/>
      <c r="F106" s="344"/>
      <c r="G106" s="344"/>
      <c r="H106" s="344"/>
      <c r="I106" s="344"/>
      <c r="J106" s="344"/>
      <c r="K106" s="344"/>
      <c r="L106" s="344"/>
      <c r="M106" s="228"/>
      <c r="N106" s="228"/>
      <c r="O106" s="228"/>
      <c r="P106" s="228"/>
      <c r="Q106" s="228"/>
      <c r="R106" s="228"/>
      <c r="S106" s="228"/>
      <c r="T106" s="228"/>
      <c r="U106" s="228"/>
      <c r="V106" s="228"/>
      <c r="W106" s="228"/>
      <c r="X106" s="228"/>
      <c r="Y106" s="228"/>
      <c r="Z106" s="235"/>
    </row>
    <row r="107" spans="1:61" x14ac:dyDescent="0.3">
      <c r="A107" s="231"/>
      <c r="B107" s="248"/>
      <c r="C107" s="248"/>
      <c r="D107" s="248"/>
      <c r="E107" s="248"/>
      <c r="F107" s="248"/>
      <c r="G107" s="248"/>
      <c r="H107" s="248"/>
      <c r="I107" s="248"/>
      <c r="J107" s="248"/>
      <c r="K107" s="248"/>
      <c r="L107" s="248"/>
      <c r="M107" s="228"/>
      <c r="N107" s="228"/>
      <c r="O107" s="228"/>
      <c r="P107" s="228"/>
      <c r="Q107" s="228"/>
      <c r="R107" s="228"/>
      <c r="S107" s="228"/>
      <c r="T107" s="228"/>
      <c r="U107" s="228"/>
      <c r="V107" s="228"/>
      <c r="W107" s="228"/>
      <c r="X107" s="228"/>
      <c r="Y107" s="228"/>
      <c r="Z107" s="235"/>
    </row>
    <row r="108" spans="1:61" x14ac:dyDescent="0.3">
      <c r="A108" s="231"/>
      <c r="B108" s="344" t="s">
        <v>241</v>
      </c>
      <c r="C108" s="344"/>
      <c r="D108" s="344"/>
      <c r="E108" s="344"/>
      <c r="F108" s="344"/>
      <c r="G108" s="344"/>
      <c r="H108" s="344"/>
      <c r="I108" s="344"/>
      <c r="J108" s="344"/>
      <c r="K108" s="344"/>
      <c r="L108" s="344"/>
      <c r="M108" s="228"/>
      <c r="N108" s="228"/>
      <c r="O108" s="228"/>
      <c r="P108" s="228"/>
      <c r="Q108" s="228"/>
      <c r="R108" s="228"/>
      <c r="S108" s="228"/>
      <c r="T108" s="228"/>
      <c r="U108" s="228"/>
      <c r="V108" s="228"/>
      <c r="W108" s="228"/>
      <c r="X108" s="228"/>
      <c r="Y108" s="228"/>
      <c r="Z108" s="235"/>
    </row>
    <row r="109" spans="1:61" x14ac:dyDescent="0.3">
      <c r="A109" s="231"/>
      <c r="B109" s="344"/>
      <c r="C109" s="344"/>
      <c r="D109" s="344"/>
      <c r="E109" s="344"/>
      <c r="F109" s="344"/>
      <c r="G109" s="344"/>
      <c r="H109" s="344"/>
      <c r="I109" s="344"/>
      <c r="J109" s="344"/>
      <c r="K109" s="344"/>
      <c r="L109" s="344"/>
      <c r="M109" s="228"/>
      <c r="N109" s="228"/>
      <c r="O109" s="228"/>
      <c r="P109" s="228"/>
      <c r="Q109" s="228"/>
      <c r="R109" s="228"/>
      <c r="S109" s="228"/>
      <c r="T109" s="228"/>
      <c r="U109" s="228"/>
      <c r="V109" s="228"/>
      <c r="W109" s="228"/>
      <c r="X109" s="228"/>
      <c r="Y109" s="228"/>
      <c r="Z109" s="235"/>
    </row>
    <row r="110" spans="1:61" ht="15" thickBot="1" x14ac:dyDescent="0.35">
      <c r="A110" s="231"/>
      <c r="B110" s="344"/>
      <c r="C110" s="344"/>
      <c r="D110" s="344"/>
      <c r="E110" s="344"/>
      <c r="F110" s="344"/>
      <c r="G110" s="344"/>
      <c r="H110" s="344"/>
      <c r="I110" s="344"/>
      <c r="J110" s="344"/>
      <c r="K110" s="344"/>
      <c r="L110" s="344"/>
      <c r="M110" s="228"/>
      <c r="N110" s="228"/>
      <c r="O110" s="228"/>
      <c r="P110" s="228"/>
      <c r="Q110" s="228"/>
      <c r="R110" s="228"/>
      <c r="S110" s="228"/>
      <c r="T110" s="228"/>
      <c r="U110" s="228"/>
      <c r="V110" s="228"/>
      <c r="W110" s="228"/>
      <c r="X110" s="228"/>
      <c r="Y110" s="228"/>
      <c r="Z110" s="235"/>
    </row>
    <row r="111" spans="1:61" x14ac:dyDescent="0.3">
      <c r="A111" s="225" t="s">
        <v>191</v>
      </c>
      <c r="B111" s="260"/>
      <c r="C111" s="260"/>
      <c r="D111" s="260"/>
      <c r="E111" s="260"/>
      <c r="F111" s="260"/>
      <c r="G111" s="260"/>
      <c r="H111" s="260"/>
      <c r="I111" s="260"/>
      <c r="J111" s="260"/>
      <c r="K111" s="260"/>
      <c r="L111" s="260"/>
      <c r="M111" s="226"/>
      <c r="N111" s="226"/>
      <c r="O111" s="226"/>
      <c r="P111" s="226"/>
      <c r="Q111" s="226"/>
      <c r="R111" s="226"/>
      <c r="S111" s="226"/>
      <c r="T111" s="226"/>
      <c r="U111" s="226"/>
      <c r="V111" s="226"/>
      <c r="W111" s="226"/>
      <c r="X111" s="226"/>
      <c r="Y111" s="226"/>
      <c r="Z111" s="226"/>
      <c r="AA111" s="226"/>
      <c r="AB111" s="226"/>
      <c r="AC111" s="226"/>
      <c r="AD111" s="226"/>
      <c r="AE111" s="226"/>
      <c r="AF111" s="226"/>
      <c r="AG111" s="226"/>
      <c r="AH111" s="226"/>
      <c r="AI111" s="226"/>
      <c r="AJ111" s="226"/>
      <c r="AK111" s="226"/>
      <c r="AL111" s="226"/>
      <c r="AM111" s="226"/>
      <c r="AN111" s="226"/>
      <c r="AO111" s="226"/>
      <c r="AP111" s="226"/>
      <c r="AQ111" s="226"/>
      <c r="AR111" s="226"/>
      <c r="AS111" s="226"/>
      <c r="AT111" s="226"/>
      <c r="AU111" s="226"/>
      <c r="AV111" s="226"/>
      <c r="AW111" s="226"/>
      <c r="AX111" s="226"/>
      <c r="AY111" s="226"/>
      <c r="AZ111" s="226"/>
      <c r="BA111" s="226"/>
      <c r="BB111" s="226"/>
      <c r="BC111" s="226"/>
      <c r="BD111" s="226"/>
      <c r="BE111" s="226"/>
      <c r="BF111" s="226"/>
      <c r="BG111" s="226"/>
      <c r="BH111" s="226"/>
      <c r="BI111" s="234"/>
    </row>
    <row r="112" spans="1:61" x14ac:dyDescent="0.3">
      <c r="A112" s="227" t="s">
        <v>222</v>
      </c>
      <c r="B112" s="228"/>
      <c r="C112" s="228"/>
      <c r="D112" s="228"/>
      <c r="E112" s="228"/>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35"/>
    </row>
    <row r="113" spans="1:61" ht="62.4" customHeight="1" x14ac:dyDescent="0.3">
      <c r="A113" s="229" t="s">
        <v>192</v>
      </c>
      <c r="B113" s="343" t="s">
        <v>228</v>
      </c>
      <c r="C113" s="343"/>
      <c r="D113" s="343"/>
      <c r="E113" s="343"/>
      <c r="F113" s="343"/>
      <c r="G113" s="343"/>
      <c r="H113" s="343"/>
      <c r="I113" s="343"/>
      <c r="J113" s="343"/>
      <c r="K113" s="343"/>
      <c r="L113" s="343"/>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35"/>
    </row>
    <row r="114" spans="1:61" ht="57" customHeight="1" x14ac:dyDescent="0.3">
      <c r="A114" s="230" t="s">
        <v>193</v>
      </c>
      <c r="B114" s="343"/>
      <c r="C114" s="343"/>
      <c r="D114" s="343"/>
      <c r="E114" s="343"/>
      <c r="F114" s="343"/>
      <c r="G114" s="343"/>
      <c r="H114" s="343"/>
      <c r="I114" s="343"/>
      <c r="J114" s="343"/>
      <c r="K114" s="343"/>
      <c r="L114" s="343"/>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35"/>
    </row>
    <row r="115" spans="1:61" ht="108" customHeight="1" x14ac:dyDescent="0.3">
      <c r="A115" s="261" t="s">
        <v>242</v>
      </c>
      <c r="B115" s="343" t="s">
        <v>274</v>
      </c>
      <c r="C115" s="343"/>
      <c r="D115" s="343"/>
      <c r="E115" s="343"/>
      <c r="F115" s="343"/>
      <c r="G115" s="343"/>
      <c r="H115" s="343"/>
      <c r="I115" s="343"/>
      <c r="J115" s="343"/>
      <c r="K115" s="343"/>
      <c r="L115" s="343"/>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35"/>
    </row>
    <row r="116" spans="1:61" ht="57" customHeight="1" x14ac:dyDescent="0.3">
      <c r="A116" s="230"/>
      <c r="B116" s="343"/>
      <c r="C116" s="343"/>
      <c r="D116" s="343"/>
      <c r="E116" s="343"/>
      <c r="F116" s="343"/>
      <c r="G116" s="343"/>
      <c r="H116" s="343"/>
      <c r="I116" s="343"/>
      <c r="J116" s="343"/>
      <c r="K116" s="343"/>
      <c r="L116" s="343"/>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35"/>
    </row>
    <row r="117" spans="1:61" ht="57" customHeight="1" x14ac:dyDescent="0.3">
      <c r="A117" s="230"/>
      <c r="B117" s="343"/>
      <c r="C117" s="343"/>
      <c r="D117" s="343"/>
      <c r="E117" s="343"/>
      <c r="F117" s="343"/>
      <c r="G117" s="343"/>
      <c r="H117" s="343"/>
      <c r="I117" s="343"/>
      <c r="J117" s="343"/>
      <c r="K117" s="343"/>
      <c r="L117" s="343"/>
      <c r="M117" s="228"/>
      <c r="N117" s="228"/>
      <c r="O117" s="228"/>
      <c r="P117" s="228"/>
      <c r="Q117" s="228"/>
      <c r="R117" s="228"/>
      <c r="S117" s="228"/>
      <c r="T117" s="228"/>
      <c r="U117" s="228"/>
      <c r="V117" s="228"/>
      <c r="W117" s="228"/>
      <c r="X117" s="228"/>
      <c r="Y117" s="228"/>
      <c r="Z117" s="22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35"/>
    </row>
    <row r="118" spans="1:61" x14ac:dyDescent="0.3">
      <c r="A118" s="230"/>
      <c r="B118" s="343"/>
      <c r="C118" s="343"/>
      <c r="D118" s="343"/>
      <c r="E118" s="343"/>
      <c r="F118" s="343"/>
      <c r="G118" s="343"/>
      <c r="H118" s="343"/>
      <c r="I118" s="343"/>
      <c r="J118" s="343"/>
      <c r="K118" s="343"/>
      <c r="L118" s="343"/>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35"/>
    </row>
    <row r="119" spans="1:61" x14ac:dyDescent="0.3">
      <c r="A119" s="230"/>
      <c r="B119" s="343"/>
      <c r="C119" s="343"/>
      <c r="D119" s="343"/>
      <c r="E119" s="343"/>
      <c r="F119" s="343"/>
      <c r="G119" s="343"/>
      <c r="H119" s="343"/>
      <c r="I119" s="343"/>
      <c r="J119" s="343"/>
      <c r="K119" s="343"/>
      <c r="L119" s="343"/>
      <c r="M119" s="228"/>
      <c r="N119" s="228"/>
      <c r="O119" s="228"/>
      <c r="P119" s="228"/>
      <c r="Q119" s="228"/>
      <c r="R119" s="228"/>
      <c r="S119" s="228"/>
      <c r="T119" s="228"/>
      <c r="U119" s="228"/>
      <c r="V119" s="228"/>
      <c r="W119" s="228"/>
      <c r="X119" s="228"/>
      <c r="Y119" s="228"/>
      <c r="Z119" s="228"/>
      <c r="AA119" s="228"/>
      <c r="AB119" s="228"/>
      <c r="AC119" s="228"/>
      <c r="AD119" s="228"/>
      <c r="AE119" s="228"/>
      <c r="AF119" s="228"/>
      <c r="AG119" s="228"/>
      <c r="AH119" s="228"/>
      <c r="AI119" s="228"/>
      <c r="AJ119" s="228"/>
      <c r="AK119" s="228"/>
      <c r="AL119" s="228"/>
      <c r="AM119" s="228"/>
      <c r="AN119" s="228"/>
      <c r="AO119" s="228"/>
      <c r="AP119" s="228"/>
      <c r="AQ119" s="228"/>
      <c r="AR119" s="228"/>
      <c r="AS119" s="228"/>
      <c r="AT119" s="228"/>
      <c r="AU119" s="228"/>
      <c r="AV119" s="228"/>
      <c r="AW119" s="228"/>
      <c r="AX119" s="228"/>
      <c r="AY119" s="228"/>
      <c r="AZ119" s="228"/>
      <c r="BA119" s="228"/>
      <c r="BB119" s="228"/>
      <c r="BC119" s="228"/>
      <c r="BD119" s="228"/>
      <c r="BE119" s="228"/>
      <c r="BF119" s="228"/>
      <c r="BG119" s="228"/>
      <c r="BH119" s="228"/>
      <c r="BI119" s="235"/>
    </row>
    <row r="120" spans="1:61" x14ac:dyDescent="0.3">
      <c r="A120" s="231"/>
      <c r="B120" s="228"/>
      <c r="C120" s="228"/>
      <c r="D120" s="228"/>
      <c r="E120" s="228"/>
      <c r="F120" s="228"/>
      <c r="G120" s="228"/>
      <c r="H120" s="228"/>
      <c r="I120" s="228"/>
      <c r="J120" s="228"/>
      <c r="K120" s="228"/>
      <c r="L120" s="228"/>
      <c r="M120" s="228"/>
      <c r="N120" s="228"/>
      <c r="O120" s="228"/>
      <c r="P120" s="228"/>
      <c r="Q120" s="228"/>
      <c r="R120" s="228"/>
      <c r="S120" s="228"/>
      <c r="T120" s="228"/>
      <c r="U120" s="228"/>
      <c r="V120" s="228"/>
      <c r="W120" s="228"/>
      <c r="X120" s="228"/>
      <c r="Y120" s="228"/>
      <c r="Z120" s="22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35"/>
    </row>
    <row r="121" spans="1:61" x14ac:dyDescent="0.3">
      <c r="A121" s="231"/>
      <c r="C121" s="228"/>
      <c r="D121" s="228"/>
      <c r="E121" s="228"/>
      <c r="F121" s="228"/>
      <c r="G121" s="228"/>
      <c r="H121" s="228"/>
      <c r="I121" s="228"/>
      <c r="J121" s="228"/>
      <c r="K121" s="228"/>
      <c r="L121" s="228"/>
      <c r="M121" s="228"/>
      <c r="N121" s="228"/>
      <c r="O121" s="228"/>
      <c r="P121" s="228"/>
      <c r="Q121" s="228"/>
      <c r="R121" s="228"/>
      <c r="S121" s="228"/>
      <c r="T121" s="228"/>
      <c r="U121" s="228"/>
      <c r="V121" s="228"/>
      <c r="W121" s="228"/>
      <c r="X121" s="228"/>
      <c r="Y121" s="228"/>
      <c r="Z121" s="22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35"/>
    </row>
    <row r="122" spans="1:61" x14ac:dyDescent="0.3">
      <c r="A122" s="231"/>
      <c r="B122" s="228"/>
      <c r="C122" s="228"/>
      <c r="D122" s="228"/>
      <c r="E122" s="228"/>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35"/>
    </row>
    <row r="123" spans="1:61" x14ac:dyDescent="0.3">
      <c r="A123" s="228" t="s">
        <v>244</v>
      </c>
      <c r="B123" s="228"/>
      <c r="C123" s="228"/>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35"/>
    </row>
    <row r="124" spans="1:61" x14ac:dyDescent="0.3">
      <c r="A124" s="231"/>
      <c r="B124" s="228"/>
      <c r="C124" s="228"/>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35"/>
    </row>
    <row r="125" spans="1:61" ht="115.2" x14ac:dyDescent="0.3">
      <c r="A125" s="204" t="s">
        <v>226</v>
      </c>
      <c r="B125" s="204" t="s">
        <v>116</v>
      </c>
      <c r="C125" s="204" t="s">
        <v>225</v>
      </c>
      <c r="D125" s="204" t="s">
        <v>230</v>
      </c>
      <c r="E125" s="228"/>
      <c r="F125" s="228"/>
      <c r="G125" s="228"/>
      <c r="H125" s="228"/>
      <c r="I125" s="228"/>
      <c r="J125" s="228"/>
      <c r="K125" s="228"/>
      <c r="L125" s="228"/>
      <c r="M125" s="204" t="s">
        <v>116</v>
      </c>
      <c r="N125" s="204" t="s">
        <v>117</v>
      </c>
      <c r="O125" s="204" t="s">
        <v>164</v>
      </c>
      <c r="P125" s="204" t="s">
        <v>21</v>
      </c>
      <c r="Q125" s="204" t="s">
        <v>165</v>
      </c>
      <c r="R125" s="204" t="s">
        <v>166</v>
      </c>
      <c r="S125" s="204" t="s">
        <v>167</v>
      </c>
      <c r="T125" s="204" t="s">
        <v>168</v>
      </c>
      <c r="U125" s="204" t="s">
        <v>169</v>
      </c>
      <c r="V125" s="204" t="s">
        <v>173</v>
      </c>
      <c r="W125" s="204" t="s">
        <v>170</v>
      </c>
      <c r="X125" s="228"/>
      <c r="Y125" s="228"/>
      <c r="Z125" s="204" t="s">
        <v>116</v>
      </c>
      <c r="AA125" s="204" t="s">
        <v>117</v>
      </c>
      <c r="AB125" s="204" t="s">
        <v>164</v>
      </c>
      <c r="AC125" s="204" t="s">
        <v>21</v>
      </c>
      <c r="AD125" s="204" t="s">
        <v>165</v>
      </c>
      <c r="AE125" s="204" t="s">
        <v>166</v>
      </c>
      <c r="AF125" s="204" t="s">
        <v>167</v>
      </c>
      <c r="AG125" s="204" t="s">
        <v>168</v>
      </c>
      <c r="AH125" s="204" t="s">
        <v>169</v>
      </c>
      <c r="AI125" s="204" t="s">
        <v>173</v>
      </c>
      <c r="AJ125" s="204" t="s">
        <v>170</v>
      </c>
      <c r="AK125" s="228"/>
      <c r="AL125" s="204" t="s">
        <v>116</v>
      </c>
      <c r="AM125" s="204" t="s">
        <v>117</v>
      </c>
      <c r="AN125" s="204" t="s">
        <v>164</v>
      </c>
      <c r="AO125" s="204" t="s">
        <v>21</v>
      </c>
      <c r="AP125" s="204" t="s">
        <v>165</v>
      </c>
      <c r="AQ125" s="204" t="s">
        <v>166</v>
      </c>
      <c r="AR125" s="204" t="s">
        <v>167</v>
      </c>
      <c r="AS125" s="204" t="s">
        <v>168</v>
      </c>
      <c r="AT125" s="204" t="s">
        <v>169</v>
      </c>
      <c r="AU125" s="204" t="s">
        <v>173</v>
      </c>
      <c r="AV125" s="204" t="s">
        <v>170</v>
      </c>
      <c r="AW125" s="228"/>
      <c r="AX125" s="204" t="s">
        <v>116</v>
      </c>
      <c r="AY125" s="204" t="s">
        <v>117</v>
      </c>
      <c r="AZ125" s="204" t="s">
        <v>164</v>
      </c>
      <c r="BA125" s="204" t="s">
        <v>21</v>
      </c>
      <c r="BB125" s="204" t="s">
        <v>165</v>
      </c>
      <c r="BC125" s="204" t="s">
        <v>166</v>
      </c>
      <c r="BD125" s="204" t="s">
        <v>167</v>
      </c>
      <c r="BE125" s="204" t="s">
        <v>168</v>
      </c>
      <c r="BF125" s="204" t="s">
        <v>169</v>
      </c>
      <c r="BG125" s="204" t="s">
        <v>173</v>
      </c>
      <c r="BH125" s="204" t="s">
        <v>170</v>
      </c>
      <c r="BI125" s="41"/>
    </row>
    <row r="126" spans="1:61" x14ac:dyDescent="0.3">
      <c r="A126" s="206" t="s">
        <v>227</v>
      </c>
      <c r="B126" s="262" t="s">
        <v>118</v>
      </c>
      <c r="C126" s="262" t="s">
        <v>121</v>
      </c>
      <c r="D126" s="206">
        <v>29.45208344843941</v>
      </c>
      <c r="E126" s="228"/>
      <c r="F126" s="228"/>
      <c r="G126" s="228"/>
      <c r="H126" s="228"/>
      <c r="I126" s="228"/>
      <c r="J126" s="228"/>
      <c r="K126" s="228"/>
      <c r="L126" s="228"/>
      <c r="M126" s="206" t="s">
        <v>118</v>
      </c>
      <c r="N126" s="206" t="s">
        <v>134</v>
      </c>
      <c r="O126" s="207">
        <v>3013.7951376178999</v>
      </c>
      <c r="P126" s="208">
        <v>256.05537093211268</v>
      </c>
      <c r="Q126" s="206"/>
      <c r="R126" s="127"/>
      <c r="S126" s="127"/>
      <c r="T126" s="127"/>
      <c r="U126" s="127"/>
      <c r="V126" s="127"/>
      <c r="W126" s="206" t="s">
        <v>143</v>
      </c>
      <c r="X126" s="228"/>
      <c r="Y126" s="228"/>
      <c r="Z126" s="206" t="s">
        <v>140</v>
      </c>
      <c r="AA126" s="206" t="s">
        <v>134</v>
      </c>
      <c r="AB126" s="206">
        <v>3015</v>
      </c>
      <c r="AC126" s="206">
        <v>236.4</v>
      </c>
      <c r="AD126" s="206"/>
      <c r="AE126" s="127"/>
      <c r="AF126" s="127"/>
      <c r="AG126" s="206"/>
      <c r="AH126" s="206"/>
      <c r="AI126" s="206"/>
      <c r="AJ126" s="206" t="s">
        <v>143</v>
      </c>
      <c r="AK126" s="228"/>
      <c r="AL126" s="206" t="s">
        <v>141</v>
      </c>
      <c r="AM126" s="206" t="s">
        <v>134</v>
      </c>
      <c r="AN126" s="206">
        <v>2968</v>
      </c>
      <c r="AO126" s="206">
        <v>232.6</v>
      </c>
      <c r="AP126" s="127"/>
      <c r="AQ126" s="127"/>
      <c r="AR126" s="206"/>
      <c r="AS126" s="206"/>
      <c r="AT126" s="206"/>
      <c r="AU126" s="206"/>
      <c r="AV126" s="206" t="s">
        <v>143</v>
      </c>
      <c r="AW126" s="228"/>
      <c r="AX126" s="206" t="s">
        <v>142</v>
      </c>
      <c r="AY126" s="206" t="s">
        <v>134</v>
      </c>
      <c r="AZ126" s="206">
        <v>3079</v>
      </c>
      <c r="BA126" s="206">
        <v>214.1</v>
      </c>
      <c r="BB126" s="206"/>
      <c r="BC126" s="127"/>
      <c r="BD126" s="127"/>
      <c r="BE126" s="127"/>
      <c r="BF126" s="127"/>
      <c r="BG126" s="127"/>
      <c r="BH126" s="206" t="s">
        <v>143</v>
      </c>
      <c r="BI126" s="235"/>
    </row>
    <row r="127" spans="1:61" x14ac:dyDescent="0.3">
      <c r="A127" s="206" t="s">
        <v>227</v>
      </c>
      <c r="B127" s="262" t="s">
        <v>140</v>
      </c>
      <c r="C127" s="262" t="s">
        <v>121</v>
      </c>
      <c r="D127" s="206">
        <v>37.579908675799125</v>
      </c>
      <c r="E127" s="228"/>
      <c r="F127" s="228"/>
      <c r="G127" s="228"/>
      <c r="H127" s="228"/>
      <c r="I127" s="228"/>
      <c r="J127" s="228"/>
      <c r="K127" s="228"/>
      <c r="L127" s="228"/>
      <c r="M127" s="206" t="s">
        <v>118</v>
      </c>
      <c r="N127" s="206" t="s">
        <v>127</v>
      </c>
      <c r="O127" s="207">
        <v>3228.3051976117999</v>
      </c>
      <c r="P127" s="208">
        <v>277.72917369409339</v>
      </c>
      <c r="Q127" s="206"/>
      <c r="R127" s="127">
        <v>9.897204581476803</v>
      </c>
      <c r="S127" s="127">
        <v>0.1010386308343629</v>
      </c>
      <c r="T127" s="127"/>
      <c r="U127" s="127"/>
      <c r="V127" s="127"/>
      <c r="W127" s="206" t="s">
        <v>143</v>
      </c>
      <c r="X127" s="228"/>
      <c r="Y127" s="228"/>
      <c r="Z127" s="206" t="s">
        <v>140</v>
      </c>
      <c r="AA127" s="206" t="s">
        <v>127</v>
      </c>
      <c r="AB127" s="206">
        <v>3258</v>
      </c>
      <c r="AC127" s="206">
        <v>257.5</v>
      </c>
      <c r="AD127" s="206"/>
      <c r="AE127" s="127">
        <v>11.516587677725122</v>
      </c>
      <c r="AF127" s="127">
        <v>8.683127572016458E-2</v>
      </c>
      <c r="AG127" s="206"/>
      <c r="AH127" s="206"/>
      <c r="AI127" s="206"/>
      <c r="AJ127" s="206" t="s">
        <v>143</v>
      </c>
      <c r="AK127" s="228"/>
      <c r="AL127" s="206" t="s">
        <v>141</v>
      </c>
      <c r="AM127" s="206" t="s">
        <v>127</v>
      </c>
      <c r="AN127" s="206">
        <v>3187</v>
      </c>
      <c r="AO127" s="206">
        <v>260</v>
      </c>
      <c r="AP127" s="127"/>
      <c r="AQ127" s="214">
        <v>7.9927007299270052</v>
      </c>
      <c r="AR127" s="206">
        <v>0.12511415525114158</v>
      </c>
      <c r="AS127" s="206"/>
      <c r="AT127" s="206"/>
      <c r="AU127" s="206"/>
      <c r="AV127" s="206" t="s">
        <v>143</v>
      </c>
      <c r="AW127" s="228"/>
      <c r="AX127" s="206" t="s">
        <v>142</v>
      </c>
      <c r="AY127" s="206" t="s">
        <v>127</v>
      </c>
      <c r="AZ127" s="206">
        <v>3353</v>
      </c>
      <c r="BA127" s="206">
        <v>228.4</v>
      </c>
      <c r="BB127" s="206"/>
      <c r="BC127" s="127">
        <v>19.160839160839146</v>
      </c>
      <c r="BD127" s="127">
        <v>5.2189781021897849E-2</v>
      </c>
      <c r="BE127" s="127"/>
      <c r="BF127" s="127"/>
      <c r="BG127" s="127"/>
      <c r="BH127" s="206" t="s">
        <v>143</v>
      </c>
      <c r="BI127" s="235"/>
    </row>
    <row r="128" spans="1:61" x14ac:dyDescent="0.3">
      <c r="A128" s="206" t="s">
        <v>227</v>
      </c>
      <c r="B128" s="262" t="s">
        <v>141</v>
      </c>
      <c r="C128" s="262" t="s">
        <v>121</v>
      </c>
      <c r="D128" s="206">
        <v>29.148936170212778</v>
      </c>
      <c r="E128" s="228"/>
      <c r="F128" s="228"/>
      <c r="G128" s="228"/>
      <c r="H128" s="228"/>
      <c r="I128" s="228"/>
      <c r="J128" s="228"/>
      <c r="K128" s="228"/>
      <c r="L128" s="228"/>
      <c r="M128" s="206" t="s">
        <v>118</v>
      </c>
      <c r="N128" s="206" t="s">
        <v>138</v>
      </c>
      <c r="O128" s="207">
        <v>3331.2518483131998</v>
      </c>
      <c r="P128" s="208">
        <v>258.82320817405918</v>
      </c>
      <c r="Q128" s="206" t="s">
        <v>171</v>
      </c>
      <c r="R128" s="127"/>
      <c r="S128" s="127"/>
      <c r="T128" s="127"/>
      <c r="U128" s="127"/>
      <c r="V128" s="127"/>
      <c r="W128" s="206" t="s">
        <v>144</v>
      </c>
      <c r="X128" s="228"/>
      <c r="Y128" s="228"/>
      <c r="Z128" s="206" t="s">
        <v>140</v>
      </c>
      <c r="AA128" s="206" t="s">
        <v>138</v>
      </c>
      <c r="AB128" s="206">
        <v>3324</v>
      </c>
      <c r="AC128" s="206">
        <v>238.9</v>
      </c>
      <c r="AD128" s="206" t="s">
        <v>171</v>
      </c>
      <c r="AE128" s="127"/>
      <c r="AF128" s="127"/>
      <c r="AG128" s="206"/>
      <c r="AH128" s="206"/>
      <c r="AI128" s="206"/>
      <c r="AJ128" s="206" t="s">
        <v>144</v>
      </c>
      <c r="AK128" s="228"/>
      <c r="AL128" s="206" t="s">
        <v>141</v>
      </c>
      <c r="AM128" s="206" t="s">
        <v>138</v>
      </c>
      <c r="AN128" s="206">
        <v>3262</v>
      </c>
      <c r="AO128" s="206">
        <v>233.9</v>
      </c>
      <c r="AP128" s="127" t="s">
        <v>171</v>
      </c>
      <c r="AQ128" s="127"/>
      <c r="AR128" s="206"/>
      <c r="AS128" s="206"/>
      <c r="AT128" s="206"/>
      <c r="AU128" s="206"/>
      <c r="AV128" s="206" t="s">
        <v>144</v>
      </c>
      <c r="AW128" s="228"/>
      <c r="AX128" s="206" t="s">
        <v>142</v>
      </c>
      <c r="AY128" s="206" t="s">
        <v>138</v>
      </c>
      <c r="AZ128" s="206">
        <v>3359</v>
      </c>
      <c r="BA128" s="206">
        <v>215.6</v>
      </c>
      <c r="BB128" s="127" t="s">
        <v>171</v>
      </c>
      <c r="BC128" s="127"/>
      <c r="BD128" s="127"/>
      <c r="BE128" s="127"/>
      <c r="BF128" s="127"/>
      <c r="BG128" s="127"/>
      <c r="BH128" s="206" t="s">
        <v>144</v>
      </c>
      <c r="BI128" s="235"/>
    </row>
    <row r="129" spans="1:61" x14ac:dyDescent="0.3">
      <c r="A129" s="206" t="s">
        <v>227</v>
      </c>
      <c r="B129" s="263" t="s">
        <v>142</v>
      </c>
      <c r="C129" s="263" t="s">
        <v>120</v>
      </c>
      <c r="D129" s="206">
        <v>55.878378378378443</v>
      </c>
      <c r="E129" s="228" t="s">
        <v>245</v>
      </c>
      <c r="F129" s="228"/>
      <c r="G129" s="228"/>
      <c r="H129" s="228"/>
      <c r="I129" s="228"/>
      <c r="J129" s="228"/>
      <c r="K129" s="228"/>
      <c r="L129" s="228"/>
      <c r="M129" s="206" t="s">
        <v>118</v>
      </c>
      <c r="N129" s="206" t="s">
        <v>133</v>
      </c>
      <c r="O129" s="207">
        <v>3681.8186988288999</v>
      </c>
      <c r="P129" s="208">
        <v>267.32993072446408</v>
      </c>
      <c r="Q129" s="206" t="s">
        <v>171</v>
      </c>
      <c r="R129" s="127"/>
      <c r="S129" s="127"/>
      <c r="T129" s="127"/>
      <c r="U129" s="127"/>
      <c r="V129" s="127"/>
      <c r="W129" s="206" t="s">
        <v>144</v>
      </c>
      <c r="X129" s="228"/>
      <c r="Y129" s="228"/>
      <c r="Z129" s="206" t="s">
        <v>140</v>
      </c>
      <c r="AA129" s="206" t="s">
        <v>133</v>
      </c>
      <c r="AB129" s="206">
        <v>3677</v>
      </c>
      <c r="AC129" s="206">
        <v>245.3</v>
      </c>
      <c r="AD129" s="206" t="s">
        <v>171</v>
      </c>
      <c r="AE129" s="127"/>
      <c r="AF129" s="127"/>
      <c r="AG129" s="206"/>
      <c r="AH129" s="206"/>
      <c r="AI129" s="206"/>
      <c r="AJ129" s="206" t="s">
        <v>144</v>
      </c>
      <c r="AK129" s="228"/>
      <c r="AL129" s="206" t="s">
        <v>141</v>
      </c>
      <c r="AM129" s="206" t="s">
        <v>133</v>
      </c>
      <c r="AN129" s="206">
        <v>3635</v>
      </c>
      <c r="AO129" s="206">
        <v>242.8</v>
      </c>
      <c r="AP129" s="127" t="s">
        <v>171</v>
      </c>
      <c r="AQ129" s="127"/>
      <c r="AR129" s="206"/>
      <c r="AS129" s="206"/>
      <c r="AT129" s="206"/>
      <c r="AU129" s="206"/>
      <c r="AV129" s="206" t="s">
        <v>144</v>
      </c>
      <c r="AW129" s="228"/>
      <c r="AX129" s="206" t="s">
        <v>142</v>
      </c>
      <c r="AY129" s="206" t="s">
        <v>133</v>
      </c>
      <c r="AZ129" s="206">
        <v>3697</v>
      </c>
      <c r="BA129" s="206">
        <v>225.7</v>
      </c>
      <c r="BB129" s="127" t="s">
        <v>171</v>
      </c>
      <c r="BC129" s="127"/>
      <c r="BD129" s="127"/>
      <c r="BE129" s="127"/>
      <c r="BF129" s="127"/>
      <c r="BG129" s="127"/>
      <c r="BH129" s="206" t="s">
        <v>144</v>
      </c>
      <c r="BI129" s="235"/>
    </row>
    <row r="130" spans="1:61" x14ac:dyDescent="0.3">
      <c r="A130" s="231"/>
      <c r="B130" s="228"/>
      <c r="C130" s="228"/>
      <c r="D130" s="228"/>
      <c r="E130" s="228"/>
      <c r="F130" s="228"/>
      <c r="G130" s="228"/>
      <c r="H130" s="228"/>
      <c r="I130" s="228"/>
      <c r="J130" s="228"/>
      <c r="K130" s="228"/>
      <c r="L130" s="228"/>
      <c r="M130" s="206" t="s">
        <v>118</v>
      </c>
      <c r="N130" s="206" t="s">
        <v>130</v>
      </c>
      <c r="O130" s="207">
        <v>3706.7368043362999</v>
      </c>
      <c r="P130" s="208">
        <v>286.65340539718841</v>
      </c>
      <c r="Q130" s="206"/>
      <c r="R130" s="127" t="s">
        <v>172</v>
      </c>
      <c r="S130" s="127"/>
      <c r="T130" s="214">
        <v>293.97357988566455</v>
      </c>
      <c r="U130" s="213">
        <v>0.9750992096251534</v>
      </c>
      <c r="V130" s="127"/>
      <c r="W130" s="206" t="s">
        <v>144</v>
      </c>
      <c r="X130" s="228"/>
      <c r="Y130" s="228"/>
      <c r="Z130" s="206" t="s">
        <v>140</v>
      </c>
      <c r="AA130" s="206" t="s">
        <v>130</v>
      </c>
      <c r="AB130" s="206">
        <v>3728</v>
      </c>
      <c r="AC130" s="206">
        <v>264</v>
      </c>
      <c r="AD130" s="206"/>
      <c r="AE130" s="127" t="s">
        <v>172</v>
      </c>
      <c r="AF130" s="127"/>
      <c r="AG130" s="214">
        <v>270.00668286755769</v>
      </c>
      <c r="AH130" s="213">
        <v>0.97775357704570576</v>
      </c>
      <c r="AI130" s="206"/>
      <c r="AJ130" s="206" t="s">
        <v>144</v>
      </c>
      <c r="AK130" s="228"/>
      <c r="AL130" s="206" t="s">
        <v>141</v>
      </c>
      <c r="AM130" s="206" t="s">
        <v>130</v>
      </c>
      <c r="AN130" s="206">
        <v>3656</v>
      </c>
      <c r="AO130" s="206">
        <v>265.10000000000002</v>
      </c>
      <c r="AP130" s="127"/>
      <c r="AQ130" s="127" t="s">
        <v>172</v>
      </c>
      <c r="AR130" s="206"/>
      <c r="AS130" s="214">
        <v>276.08978102189781</v>
      </c>
      <c r="AT130" s="213">
        <v>0.96019490116142281</v>
      </c>
      <c r="AU130" s="206"/>
      <c r="AV130" s="206" t="s">
        <v>144</v>
      </c>
      <c r="AW130" s="228"/>
      <c r="AX130" s="206" t="s">
        <v>142</v>
      </c>
      <c r="AY130" s="206" t="s">
        <v>130</v>
      </c>
      <c r="AZ130" s="206">
        <v>3779</v>
      </c>
      <c r="BA130" s="206">
        <v>234</v>
      </c>
      <c r="BB130" s="206"/>
      <c r="BC130" s="127" t="s">
        <v>172</v>
      </c>
      <c r="BD130" s="127"/>
      <c r="BE130" s="127">
        <v>239.33475935828878</v>
      </c>
      <c r="BF130" s="127">
        <v>0.97771005192646276</v>
      </c>
      <c r="BG130" s="127"/>
      <c r="BH130" s="206" t="s">
        <v>144</v>
      </c>
      <c r="BI130" s="235"/>
    </row>
    <row r="131" spans="1:61" x14ac:dyDescent="0.3">
      <c r="A131" s="231" t="s">
        <v>229</v>
      </c>
      <c r="B131" s="228"/>
      <c r="C131" s="228"/>
      <c r="D131" s="228"/>
      <c r="E131" s="228"/>
      <c r="F131" s="228"/>
      <c r="G131" s="228"/>
      <c r="H131" s="228"/>
      <c r="I131" s="228"/>
      <c r="J131" s="228"/>
      <c r="K131" s="228"/>
      <c r="L131" s="228"/>
      <c r="M131" s="206" t="s">
        <v>118</v>
      </c>
      <c r="N131" s="206" t="s">
        <v>137</v>
      </c>
      <c r="O131" s="207">
        <v>3964.6814490361999</v>
      </c>
      <c r="P131" s="208">
        <v>268.60118578955911</v>
      </c>
      <c r="Q131" s="206" t="s">
        <v>171</v>
      </c>
      <c r="R131" s="127"/>
      <c r="S131" s="127"/>
      <c r="T131" s="127"/>
      <c r="U131" s="127"/>
      <c r="V131" s="127"/>
      <c r="W131" s="206" t="s">
        <v>144</v>
      </c>
      <c r="X131" s="228"/>
      <c r="Y131" s="228"/>
      <c r="Z131" s="206" t="s">
        <v>140</v>
      </c>
      <c r="AA131" s="206" t="s">
        <v>137</v>
      </c>
      <c r="AB131" s="206">
        <v>3949</v>
      </c>
      <c r="AC131" s="206">
        <v>246.4</v>
      </c>
      <c r="AD131" s="206" t="s">
        <v>171</v>
      </c>
      <c r="AE131" s="127"/>
      <c r="AF131" s="127"/>
      <c r="AG131" s="268"/>
      <c r="AH131" s="206"/>
      <c r="AI131" s="206"/>
      <c r="AJ131" s="206" t="s">
        <v>144</v>
      </c>
      <c r="AK131" s="228"/>
      <c r="AL131" s="206" t="s">
        <v>141</v>
      </c>
      <c r="AM131" s="206" t="s">
        <v>137</v>
      </c>
      <c r="AN131" s="206">
        <v>3887</v>
      </c>
      <c r="AO131" s="206">
        <v>243.3</v>
      </c>
      <c r="AP131" s="127" t="s">
        <v>171</v>
      </c>
      <c r="AQ131" s="127"/>
      <c r="AR131" s="206"/>
      <c r="AS131" s="206"/>
      <c r="AT131" s="206"/>
      <c r="AU131" s="206"/>
      <c r="AV131" s="206" t="s">
        <v>143</v>
      </c>
      <c r="AW131" s="228"/>
      <c r="AX131" s="206" t="s">
        <v>142</v>
      </c>
      <c r="AY131" s="206" t="s">
        <v>137</v>
      </c>
      <c r="AZ131" s="206">
        <v>3954</v>
      </c>
      <c r="BA131" s="206">
        <v>226.5</v>
      </c>
      <c r="BB131" s="127" t="s">
        <v>171</v>
      </c>
      <c r="BC131" s="127"/>
      <c r="BD131" s="127"/>
      <c r="BE131" s="127"/>
      <c r="BF131" s="127"/>
      <c r="BG131" s="127"/>
      <c r="BH131" s="206" t="s">
        <v>144</v>
      </c>
      <c r="BI131" s="235"/>
    </row>
    <row r="132" spans="1:61" x14ac:dyDescent="0.3">
      <c r="A132" s="231"/>
      <c r="B132" s="228"/>
      <c r="C132" s="228"/>
      <c r="D132" s="228"/>
      <c r="E132" s="228"/>
      <c r="F132" s="228"/>
      <c r="G132" s="228"/>
      <c r="H132" s="228"/>
      <c r="I132" s="228"/>
      <c r="J132" s="228"/>
      <c r="K132" s="228"/>
      <c r="L132" s="228"/>
      <c r="M132" s="206" t="s">
        <v>118</v>
      </c>
      <c r="N132" s="206" t="s">
        <v>126</v>
      </c>
      <c r="O132" s="207">
        <v>4023.0400641921001</v>
      </c>
      <c r="P132" s="208">
        <v>293.12209487147652</v>
      </c>
      <c r="Q132" s="206"/>
      <c r="R132" s="127" t="s">
        <v>172</v>
      </c>
      <c r="S132" s="127"/>
      <c r="T132" s="214">
        <v>304.71316849268243</v>
      </c>
      <c r="U132" s="213">
        <v>0.96196070659320965</v>
      </c>
      <c r="V132" s="127"/>
      <c r="W132" s="206" t="s">
        <v>144</v>
      </c>
      <c r="X132" s="228"/>
      <c r="Y132" s="228"/>
      <c r="Z132" s="206" t="s">
        <v>140</v>
      </c>
      <c r="AA132" s="206" t="s">
        <v>126</v>
      </c>
      <c r="AB132" s="206">
        <v>4049</v>
      </c>
      <c r="AC132" s="206">
        <v>269.7</v>
      </c>
      <c r="AD132" s="206"/>
      <c r="AE132" s="127" t="s">
        <v>172</v>
      </c>
      <c r="AF132" s="127"/>
      <c r="AG132" s="268">
        <v>278.54848116646411</v>
      </c>
      <c r="AH132" s="213">
        <v>0.96823360468737873</v>
      </c>
      <c r="AI132" s="206"/>
      <c r="AJ132" s="206" t="s">
        <v>144</v>
      </c>
      <c r="AK132" s="228"/>
      <c r="AL132" s="206" t="s">
        <v>141</v>
      </c>
      <c r="AM132" s="206" t="s">
        <v>126</v>
      </c>
      <c r="AN132" s="206">
        <v>4007</v>
      </c>
      <c r="AO132" s="206">
        <v>274.8</v>
      </c>
      <c r="AP132" s="127"/>
      <c r="AQ132" s="127" t="s">
        <v>172</v>
      </c>
      <c r="AR132" s="206"/>
      <c r="AS132" s="214">
        <v>288.13138686131384</v>
      </c>
      <c r="AT132" s="213">
        <v>0.95373157014743892</v>
      </c>
      <c r="AU132" s="206"/>
      <c r="AV132" s="206" t="s">
        <v>144</v>
      </c>
      <c r="AW132" s="228"/>
      <c r="AX132" s="270" t="s">
        <v>142</v>
      </c>
      <c r="AY132" s="270" t="s">
        <v>126</v>
      </c>
      <c r="AZ132" s="270">
        <v>4101</v>
      </c>
      <c r="BA132" s="270">
        <v>247.6</v>
      </c>
      <c r="BB132" s="270"/>
      <c r="BC132" s="271">
        <v>38.958333333333357</v>
      </c>
      <c r="BD132" s="271">
        <v>2.5668449197860946E-2</v>
      </c>
      <c r="BE132" s="271"/>
      <c r="BF132" s="271"/>
      <c r="BG132" s="271"/>
      <c r="BH132" s="270" t="s">
        <v>143</v>
      </c>
      <c r="BI132" s="235"/>
    </row>
    <row r="133" spans="1:61" x14ac:dyDescent="0.3">
      <c r="A133" s="231"/>
      <c r="B133" s="228"/>
      <c r="C133" s="228"/>
      <c r="D133" s="228"/>
      <c r="E133" s="228"/>
      <c r="F133" s="228"/>
      <c r="G133" s="228"/>
      <c r="H133" s="228"/>
      <c r="I133" s="228"/>
      <c r="J133" s="228"/>
      <c r="K133" s="228"/>
      <c r="L133" s="228"/>
      <c r="M133" s="262" t="s">
        <v>118</v>
      </c>
      <c r="N133" s="262" t="s">
        <v>121</v>
      </c>
      <c r="O133" s="264">
        <v>4037.2374361233001</v>
      </c>
      <c r="P133" s="265">
        <v>305.19521832647621</v>
      </c>
      <c r="Q133" s="262"/>
      <c r="R133" s="266">
        <v>29.45208344843941</v>
      </c>
      <c r="S133" s="266">
        <v>3.3953455338759313E-2</v>
      </c>
      <c r="T133" s="266"/>
      <c r="U133" s="266"/>
      <c r="V133" s="266"/>
      <c r="W133" s="262" t="s">
        <v>143</v>
      </c>
      <c r="X133" s="228"/>
      <c r="Y133" s="228"/>
      <c r="Z133" s="262" t="s">
        <v>140</v>
      </c>
      <c r="AA133" s="262" t="s">
        <v>121</v>
      </c>
      <c r="AB133" s="262">
        <v>4081</v>
      </c>
      <c r="AC133" s="262">
        <v>279.39999999999998</v>
      </c>
      <c r="AD133" s="262"/>
      <c r="AE133" s="266">
        <v>37.579908675799125</v>
      </c>
      <c r="AF133" s="266">
        <v>2.6609963547995111E-2</v>
      </c>
      <c r="AG133" s="262"/>
      <c r="AH133" s="262"/>
      <c r="AI133" s="262"/>
      <c r="AJ133" s="262" t="s">
        <v>143</v>
      </c>
      <c r="AK133" s="228"/>
      <c r="AL133" s="262" t="s">
        <v>141</v>
      </c>
      <c r="AM133" s="262" t="s">
        <v>121</v>
      </c>
      <c r="AN133" s="262">
        <v>4009</v>
      </c>
      <c r="AO133" s="262">
        <v>288.2</v>
      </c>
      <c r="AP133" s="266"/>
      <c r="AQ133" s="269">
        <v>29.148936170212778</v>
      </c>
      <c r="AR133" s="262">
        <v>3.4306569343065682E-2</v>
      </c>
      <c r="AS133" s="262"/>
      <c r="AT133" s="262"/>
      <c r="AU133" s="262"/>
      <c r="AV133" s="262" t="s">
        <v>143</v>
      </c>
      <c r="AW133" s="228"/>
      <c r="AX133" s="206" t="s">
        <v>142</v>
      </c>
      <c r="AY133" s="206" t="s">
        <v>121</v>
      </c>
      <c r="AZ133" s="206">
        <v>4119</v>
      </c>
      <c r="BA133" s="206">
        <v>244.1</v>
      </c>
      <c r="BB133" s="127" t="s">
        <v>171</v>
      </c>
      <c r="BC133" s="127"/>
      <c r="BD133" s="127"/>
      <c r="BE133" s="127"/>
      <c r="BF133" s="127"/>
      <c r="BG133" s="127"/>
      <c r="BH133" s="206" t="s">
        <v>144</v>
      </c>
      <c r="BI133" s="235"/>
    </row>
    <row r="134" spans="1:61" x14ac:dyDescent="0.3">
      <c r="A134" s="231"/>
      <c r="B134" s="228"/>
      <c r="C134" s="228"/>
      <c r="D134" s="228"/>
      <c r="E134" s="228"/>
      <c r="F134" s="228"/>
      <c r="G134" s="228"/>
      <c r="H134" s="228"/>
      <c r="I134" s="228"/>
      <c r="J134" s="228"/>
      <c r="K134" s="228"/>
      <c r="L134" s="228"/>
      <c r="M134" s="206" t="s">
        <v>118</v>
      </c>
      <c r="N134" s="206" t="s">
        <v>129</v>
      </c>
      <c r="O134" s="207">
        <v>4450.5929078542003</v>
      </c>
      <c r="P134" s="208">
        <v>297.84531671771521</v>
      </c>
      <c r="Q134" s="206" t="s">
        <v>171</v>
      </c>
      <c r="R134" s="127"/>
      <c r="S134" s="127"/>
      <c r="T134" s="127"/>
      <c r="U134" s="127"/>
      <c r="V134" s="127"/>
      <c r="W134" s="206" t="s">
        <v>144</v>
      </c>
      <c r="X134" s="228"/>
      <c r="Y134" s="228"/>
      <c r="Z134" s="206" t="s">
        <v>140</v>
      </c>
      <c r="AA134" s="206" t="s">
        <v>129</v>
      </c>
      <c r="AB134" s="206">
        <v>4464</v>
      </c>
      <c r="AC134" s="206">
        <v>273</v>
      </c>
      <c r="AD134" s="206" t="s">
        <v>171</v>
      </c>
      <c r="AE134" s="127"/>
      <c r="AF134" s="127"/>
      <c r="AG134" s="206"/>
      <c r="AH134" s="206"/>
      <c r="AI134" s="206"/>
      <c r="AJ134" s="206" t="s">
        <v>144</v>
      </c>
      <c r="AK134" s="228"/>
      <c r="AL134" s="206" t="s">
        <v>141</v>
      </c>
      <c r="AM134" s="206" t="s">
        <v>129</v>
      </c>
      <c r="AN134" s="206">
        <v>4405</v>
      </c>
      <c r="AO134" s="206">
        <v>277.2</v>
      </c>
      <c r="AP134" s="127" t="s">
        <v>171</v>
      </c>
      <c r="AQ134" s="127"/>
      <c r="AR134" s="206"/>
      <c r="AS134" s="206"/>
      <c r="AT134" s="206"/>
      <c r="AU134" s="206"/>
      <c r="AV134" s="206" t="s">
        <v>144</v>
      </c>
      <c r="AW134" s="228"/>
      <c r="AX134" s="206" t="s">
        <v>142</v>
      </c>
      <c r="AY134" s="206" t="s">
        <v>129</v>
      </c>
      <c r="AZ134" s="206">
        <v>4485</v>
      </c>
      <c r="BA134" s="206">
        <v>250.9</v>
      </c>
      <c r="BB134" s="206"/>
      <c r="BC134" s="127" t="s">
        <v>172</v>
      </c>
      <c r="BD134" s="127"/>
      <c r="BE134" s="127">
        <v>254.47206771463118</v>
      </c>
      <c r="BF134" s="272">
        <v>0.98596282984332506</v>
      </c>
      <c r="BG134" s="127">
        <v>116.36363636363596</v>
      </c>
      <c r="BH134" s="206" t="s">
        <v>145</v>
      </c>
      <c r="BI134" s="235"/>
    </row>
    <row r="135" spans="1:61" x14ac:dyDescent="0.3">
      <c r="A135" s="231"/>
      <c r="B135" s="228"/>
      <c r="C135" s="228"/>
      <c r="D135" s="228"/>
      <c r="E135" s="228"/>
      <c r="F135" s="228"/>
      <c r="G135" s="228"/>
      <c r="H135" s="228"/>
      <c r="I135" s="228"/>
      <c r="J135" s="228"/>
      <c r="K135" s="228"/>
      <c r="L135" s="228"/>
      <c r="M135" s="206" t="s">
        <v>118</v>
      </c>
      <c r="N135" s="206" t="s">
        <v>120</v>
      </c>
      <c r="O135" s="207">
        <v>4861.6763761272996</v>
      </c>
      <c r="P135" s="208">
        <v>317.52740035529621</v>
      </c>
      <c r="Q135" s="206"/>
      <c r="R135" s="127">
        <v>66.852641169040993</v>
      </c>
      <c r="S135" s="127">
        <v>1.4958272141730925E-2</v>
      </c>
      <c r="T135" s="127"/>
      <c r="U135" s="127"/>
      <c r="V135" s="127"/>
      <c r="W135" s="206" t="s">
        <v>143</v>
      </c>
      <c r="X135" s="228"/>
      <c r="Y135" s="228"/>
      <c r="Z135" s="206" t="s">
        <v>140</v>
      </c>
      <c r="AA135" s="206" t="s">
        <v>120</v>
      </c>
      <c r="AB135" s="206">
        <v>4906</v>
      </c>
      <c r="AC135" s="206">
        <v>289.10000000000002</v>
      </c>
      <c r="AD135" s="206"/>
      <c r="AE135" s="127">
        <v>85.051546391752183</v>
      </c>
      <c r="AF135" s="127">
        <v>1.1757575757575812E-2</v>
      </c>
      <c r="AG135" s="206"/>
      <c r="AH135" s="206"/>
      <c r="AI135" s="206"/>
      <c r="AJ135" s="206" t="s">
        <v>143</v>
      </c>
      <c r="AK135" s="228"/>
      <c r="AL135" s="206" t="s">
        <v>141</v>
      </c>
      <c r="AM135" s="206" t="s">
        <v>120</v>
      </c>
      <c r="AN135" s="206">
        <v>4853</v>
      </c>
      <c r="AO135" s="206">
        <v>302.7</v>
      </c>
      <c r="AP135" s="127"/>
      <c r="AQ135" s="214">
        <v>58.206896551724135</v>
      </c>
      <c r="AR135" s="206">
        <v>1.7180094786729858E-2</v>
      </c>
      <c r="AS135" s="206"/>
      <c r="AT135" s="206"/>
      <c r="AU135" s="206"/>
      <c r="AV135" s="206" t="s">
        <v>143</v>
      </c>
      <c r="AW135" s="228"/>
      <c r="AX135" s="206" t="s">
        <v>142</v>
      </c>
      <c r="AY135" s="206" t="s">
        <v>132</v>
      </c>
      <c r="AZ135" s="206">
        <v>4923</v>
      </c>
      <c r="BA135" s="206">
        <v>237.5</v>
      </c>
      <c r="BB135" s="127" t="s">
        <v>171</v>
      </c>
      <c r="BC135" s="127"/>
      <c r="BD135" s="127"/>
      <c r="BE135" s="127"/>
      <c r="BF135" s="127"/>
      <c r="BG135" s="127"/>
      <c r="BH135" s="206" t="s">
        <v>144</v>
      </c>
      <c r="BI135" s="235"/>
    </row>
    <row r="136" spans="1:61" x14ac:dyDescent="0.3">
      <c r="A136" s="231"/>
      <c r="B136" s="228"/>
      <c r="C136" s="228"/>
      <c r="D136" s="228"/>
      <c r="E136" s="228"/>
      <c r="F136" s="228"/>
      <c r="G136" s="228"/>
      <c r="H136" s="228"/>
      <c r="I136" s="228"/>
      <c r="J136" s="228"/>
      <c r="K136" s="228"/>
      <c r="L136" s="228"/>
      <c r="M136" s="206" t="s">
        <v>118</v>
      </c>
      <c r="N136" s="206" t="s">
        <v>132</v>
      </c>
      <c r="O136" s="207">
        <v>5003.9060157294998</v>
      </c>
      <c r="P136" s="208">
        <v>273.89182729422703</v>
      </c>
      <c r="Q136" s="206" t="s">
        <v>171</v>
      </c>
      <c r="R136" s="127"/>
      <c r="S136" s="127"/>
      <c r="T136" s="127"/>
      <c r="U136" s="127"/>
      <c r="V136" s="127"/>
      <c r="W136" s="206" t="s">
        <v>144</v>
      </c>
      <c r="X136" s="228"/>
      <c r="Y136" s="228"/>
      <c r="Z136" s="206" t="s">
        <v>140</v>
      </c>
      <c r="AA136" s="206" t="s">
        <v>132</v>
      </c>
      <c r="AB136" s="206">
        <v>4966</v>
      </c>
      <c r="AC136" s="206">
        <v>251.3</v>
      </c>
      <c r="AD136" s="206" t="s">
        <v>171</v>
      </c>
      <c r="AE136" s="127"/>
      <c r="AF136" s="127"/>
      <c r="AG136" s="206"/>
      <c r="AH136" s="206"/>
      <c r="AI136" s="206"/>
      <c r="AJ136" s="206" t="s">
        <v>144</v>
      </c>
      <c r="AK136" s="228"/>
      <c r="AL136" s="206" t="s">
        <v>141</v>
      </c>
      <c r="AM136" s="206" t="s">
        <v>132</v>
      </c>
      <c r="AN136" s="206">
        <v>4926</v>
      </c>
      <c r="AO136" s="206">
        <v>250</v>
      </c>
      <c r="AP136" s="127" t="s">
        <v>171</v>
      </c>
      <c r="AQ136" s="127"/>
      <c r="AR136" s="206"/>
      <c r="AS136" s="206"/>
      <c r="AT136" s="206"/>
      <c r="AU136" s="206"/>
      <c r="AV136" s="206" t="s">
        <v>144</v>
      </c>
      <c r="AW136" s="228"/>
      <c r="AX136" s="262" t="s">
        <v>142</v>
      </c>
      <c r="AY136" s="262" t="s">
        <v>120</v>
      </c>
      <c r="AZ136" s="262">
        <v>4928</v>
      </c>
      <c r="BA136" s="262">
        <v>262.39999999999998</v>
      </c>
      <c r="BB136" s="262"/>
      <c r="BC136" s="266">
        <v>55.878378378378443</v>
      </c>
      <c r="BD136" s="266">
        <v>1.7896009673518721E-2</v>
      </c>
      <c r="BE136" s="266"/>
      <c r="BF136" s="266"/>
      <c r="BG136" s="266"/>
      <c r="BH136" s="262" t="s">
        <v>143</v>
      </c>
      <c r="BI136" s="235"/>
    </row>
    <row r="137" spans="1:61" x14ac:dyDescent="0.3">
      <c r="A137" s="231"/>
      <c r="B137" s="228"/>
      <c r="C137" s="228"/>
      <c r="D137" s="228"/>
      <c r="E137" s="228"/>
      <c r="F137" s="228"/>
      <c r="G137" s="228"/>
      <c r="H137" s="228"/>
      <c r="I137" s="228"/>
      <c r="J137" s="228"/>
      <c r="K137" s="228"/>
      <c r="L137" s="228"/>
      <c r="M137" s="206" t="s">
        <v>118</v>
      </c>
      <c r="N137" s="206" t="s">
        <v>124</v>
      </c>
      <c r="O137" s="207">
        <v>5145.3991736100998</v>
      </c>
      <c r="P137" s="208">
        <v>319.13096452967591</v>
      </c>
      <c r="Q137" s="206"/>
      <c r="R137" s="127">
        <v>176.93261175066579</v>
      </c>
      <c r="S137" s="127">
        <v>5.6518693196549001E-3</v>
      </c>
      <c r="T137" s="127"/>
      <c r="U137" s="127"/>
      <c r="V137" s="127"/>
      <c r="W137" s="206" t="s">
        <v>143</v>
      </c>
      <c r="X137" s="228"/>
      <c r="Y137" s="228"/>
      <c r="Z137" s="206" t="s">
        <v>140</v>
      </c>
      <c r="AA137" s="206" t="s">
        <v>124</v>
      </c>
      <c r="AB137" s="206">
        <v>5178</v>
      </c>
      <c r="AC137" s="206">
        <v>290.39999999999998</v>
      </c>
      <c r="AD137" s="206"/>
      <c r="AE137" s="127">
        <v>209.23076923077656</v>
      </c>
      <c r="AF137" s="127">
        <v>4.7794117647057153E-3</v>
      </c>
      <c r="AG137" s="206"/>
      <c r="AH137" s="206"/>
      <c r="AI137" s="206"/>
      <c r="AJ137" s="206" t="s">
        <v>143</v>
      </c>
      <c r="AK137" s="228"/>
      <c r="AL137" s="206" t="s">
        <v>141</v>
      </c>
      <c r="AM137" s="206" t="s">
        <v>124</v>
      </c>
      <c r="AN137" s="206">
        <v>5104</v>
      </c>
      <c r="AO137" s="206">
        <v>303.2</v>
      </c>
      <c r="AP137" s="127"/>
      <c r="AQ137" s="127" t="s">
        <v>172</v>
      </c>
      <c r="AR137" s="206"/>
      <c r="AS137" s="214">
        <v>303.84090909090907</v>
      </c>
      <c r="AT137" s="267">
        <v>0.99789064253122906</v>
      </c>
      <c r="AU137" s="127">
        <v>502</v>
      </c>
      <c r="AV137" s="206" t="s">
        <v>146</v>
      </c>
      <c r="AW137" s="228"/>
      <c r="AX137" s="206" t="s">
        <v>142</v>
      </c>
      <c r="AY137" s="206" t="s">
        <v>124</v>
      </c>
      <c r="AZ137" s="206">
        <v>5185</v>
      </c>
      <c r="BA137" s="206">
        <v>263.2</v>
      </c>
      <c r="BB137" s="206"/>
      <c r="BC137" s="127" t="s">
        <v>172</v>
      </c>
      <c r="BD137" s="127"/>
      <c r="BE137" s="127">
        <v>264.68195050946139</v>
      </c>
      <c r="BF137" s="272">
        <v>0.99440101409782977</v>
      </c>
      <c r="BG137" s="127">
        <v>321.24999999999545</v>
      </c>
      <c r="BH137" s="206" t="s">
        <v>145</v>
      </c>
      <c r="BI137" s="235"/>
    </row>
    <row r="138" spans="1:61" x14ac:dyDescent="0.3">
      <c r="A138" s="231"/>
      <c r="B138" s="228"/>
      <c r="C138" s="228"/>
      <c r="D138" s="228"/>
      <c r="E138" s="228"/>
      <c r="F138" s="228"/>
      <c r="G138" s="228"/>
      <c r="H138" s="228"/>
      <c r="I138" s="228"/>
      <c r="J138" s="228"/>
      <c r="K138" s="228"/>
      <c r="L138" s="228"/>
      <c r="M138" s="206" t="s">
        <v>118</v>
      </c>
      <c r="N138" s="206" t="s">
        <v>135</v>
      </c>
      <c r="O138" s="207">
        <v>5377.5421415410001</v>
      </c>
      <c r="P138" s="208">
        <v>275.30732269542762</v>
      </c>
      <c r="Q138" s="206" t="s">
        <v>171</v>
      </c>
      <c r="R138" s="127"/>
      <c r="S138" s="127"/>
      <c r="T138" s="127"/>
      <c r="U138" s="127"/>
      <c r="V138" s="127"/>
      <c r="W138" s="206" t="s">
        <v>144</v>
      </c>
      <c r="X138" s="228"/>
      <c r="Y138" s="228"/>
      <c r="Z138" s="206" t="s">
        <v>140</v>
      </c>
      <c r="AA138" s="206" t="s">
        <v>135</v>
      </c>
      <c r="AB138" s="206">
        <v>5322</v>
      </c>
      <c r="AC138" s="206">
        <v>252.2</v>
      </c>
      <c r="AD138" s="206" t="s">
        <v>171</v>
      </c>
      <c r="AE138" s="127"/>
      <c r="AF138" s="127"/>
      <c r="AG138" s="206"/>
      <c r="AH138" s="206"/>
      <c r="AI138" s="206"/>
      <c r="AJ138" s="206" t="s">
        <v>144</v>
      </c>
      <c r="AK138" s="228"/>
      <c r="AL138" s="206" t="s">
        <v>141</v>
      </c>
      <c r="AM138" s="206" t="s">
        <v>135</v>
      </c>
      <c r="AN138" s="206">
        <v>5256</v>
      </c>
      <c r="AO138" s="206">
        <v>250.6</v>
      </c>
      <c r="AP138" s="127" t="s">
        <v>171</v>
      </c>
      <c r="AQ138" s="127"/>
      <c r="AR138" s="206"/>
      <c r="AS138" s="206"/>
      <c r="AT138" s="206"/>
      <c r="AU138" s="206"/>
      <c r="AV138" s="206" t="s">
        <v>144</v>
      </c>
      <c r="AW138" s="228"/>
      <c r="AX138" s="206" t="s">
        <v>142</v>
      </c>
      <c r="AY138" s="206" t="s">
        <v>135</v>
      </c>
      <c r="AZ138" s="206">
        <v>5271</v>
      </c>
      <c r="BA138" s="206">
        <v>239</v>
      </c>
      <c r="BB138" s="127" t="s">
        <v>171</v>
      </c>
      <c r="BC138" s="127"/>
      <c r="BD138" s="127"/>
      <c r="BE138" s="127"/>
      <c r="BF138" s="127"/>
      <c r="BG138" s="127"/>
      <c r="BH138" s="206" t="s">
        <v>144</v>
      </c>
      <c r="BI138" s="235"/>
    </row>
    <row r="139" spans="1:61" x14ac:dyDescent="0.3">
      <c r="A139" s="231"/>
      <c r="B139" s="228"/>
      <c r="C139" s="228"/>
      <c r="D139" s="228"/>
      <c r="E139" s="228"/>
      <c r="F139" s="228"/>
      <c r="G139" s="228"/>
      <c r="H139" s="228"/>
      <c r="I139" s="228"/>
      <c r="J139" s="228"/>
      <c r="K139" s="228"/>
      <c r="L139" s="228"/>
      <c r="M139" s="206" t="s">
        <v>118</v>
      </c>
      <c r="N139" s="206" t="s">
        <v>136</v>
      </c>
      <c r="O139" s="207">
        <v>5626.3592210923998</v>
      </c>
      <c r="P139" s="208">
        <v>275.6457822481957</v>
      </c>
      <c r="Q139" s="206" t="s">
        <v>171</v>
      </c>
      <c r="R139" s="127"/>
      <c r="S139" s="127"/>
      <c r="T139" s="127"/>
      <c r="U139" s="127"/>
      <c r="V139" s="127"/>
      <c r="W139" s="206" t="s">
        <v>144</v>
      </c>
      <c r="X139" s="228"/>
      <c r="Y139" s="228"/>
      <c r="Z139" s="206" t="s">
        <v>140</v>
      </c>
      <c r="AA139" s="206" t="s">
        <v>136</v>
      </c>
      <c r="AB139" s="206">
        <v>5557</v>
      </c>
      <c r="AC139" s="206">
        <v>252.6</v>
      </c>
      <c r="AD139" s="206" t="s">
        <v>171</v>
      </c>
      <c r="AE139" s="127"/>
      <c r="AF139" s="127"/>
      <c r="AG139" s="206"/>
      <c r="AH139" s="206"/>
      <c r="AI139" s="206"/>
      <c r="AJ139" s="206" t="s">
        <v>144</v>
      </c>
      <c r="AK139" s="228"/>
      <c r="AL139" s="206" t="s">
        <v>141</v>
      </c>
      <c r="AM139" s="206" t="s">
        <v>136</v>
      </c>
      <c r="AN139" s="206">
        <v>5468</v>
      </c>
      <c r="AO139" s="206">
        <v>250.8</v>
      </c>
      <c r="AP139" s="127" t="s">
        <v>171</v>
      </c>
      <c r="AQ139" s="127"/>
      <c r="AR139" s="206"/>
      <c r="AS139" s="206"/>
      <c r="AT139" s="206"/>
      <c r="AU139" s="206"/>
      <c r="AV139" s="206" t="s">
        <v>144</v>
      </c>
      <c r="AW139" s="228"/>
      <c r="AX139" s="206" t="s">
        <v>142</v>
      </c>
      <c r="AY139" s="206" t="s">
        <v>136</v>
      </c>
      <c r="AZ139" s="206">
        <v>5500</v>
      </c>
      <c r="BA139" s="206">
        <v>239.2</v>
      </c>
      <c r="BB139" s="127" t="s">
        <v>171</v>
      </c>
      <c r="BC139" s="127"/>
      <c r="BD139" s="127"/>
      <c r="BE139" s="127"/>
      <c r="BF139" s="127"/>
      <c r="BG139" s="127"/>
      <c r="BH139" s="206" t="s">
        <v>144</v>
      </c>
      <c r="BI139" s="235"/>
    </row>
    <row r="140" spans="1:61" x14ac:dyDescent="0.3">
      <c r="A140" s="231"/>
      <c r="B140" s="228"/>
      <c r="C140" s="228"/>
      <c r="D140" s="228"/>
      <c r="E140" s="228"/>
      <c r="F140" s="228"/>
      <c r="G140" s="228"/>
      <c r="H140" s="228"/>
      <c r="I140" s="228"/>
      <c r="J140" s="228"/>
      <c r="K140" s="228"/>
      <c r="L140" s="228"/>
      <c r="M140" s="206" t="s">
        <v>118</v>
      </c>
      <c r="N140" s="206" t="s">
        <v>125</v>
      </c>
      <c r="O140" s="207">
        <v>6014.7839205541004</v>
      </c>
      <c r="P140" s="208">
        <v>304.73458819641849</v>
      </c>
      <c r="Q140" s="206" t="s">
        <v>171</v>
      </c>
      <c r="R140" s="127"/>
      <c r="S140" s="127"/>
      <c r="T140" s="127"/>
      <c r="U140" s="127"/>
      <c r="V140" s="127"/>
      <c r="W140" s="206" t="s">
        <v>144</v>
      </c>
      <c r="X140" s="228"/>
      <c r="Y140" s="228"/>
      <c r="Z140" s="206" t="s">
        <v>140</v>
      </c>
      <c r="AA140" s="206" t="s">
        <v>125</v>
      </c>
      <c r="AB140" s="206">
        <v>5995</v>
      </c>
      <c r="AC140" s="206">
        <v>278.60000000000002</v>
      </c>
      <c r="AD140" s="206" t="s">
        <v>171</v>
      </c>
      <c r="AE140" s="127"/>
      <c r="AF140" s="127"/>
      <c r="AG140" s="206"/>
      <c r="AH140" s="206"/>
      <c r="AI140" s="206"/>
      <c r="AJ140" s="206" t="s">
        <v>144</v>
      </c>
      <c r="AK140" s="228"/>
      <c r="AL140" s="206" t="s">
        <v>141</v>
      </c>
      <c r="AM140" s="206" t="s">
        <v>125</v>
      </c>
      <c r="AN140" s="206">
        <v>5959</v>
      </c>
      <c r="AO140" s="206">
        <v>285.5</v>
      </c>
      <c r="AP140" s="127" t="s">
        <v>171</v>
      </c>
      <c r="AQ140" s="127"/>
      <c r="AR140" s="206"/>
      <c r="AS140" s="206"/>
      <c r="AT140" s="206"/>
      <c r="AU140" s="206"/>
      <c r="AV140" s="206" t="s">
        <v>144</v>
      </c>
      <c r="AW140" s="228"/>
      <c r="AX140" s="206" t="s">
        <v>142</v>
      </c>
      <c r="AY140" s="206" t="s">
        <v>125</v>
      </c>
      <c r="AZ140" s="206">
        <v>5948</v>
      </c>
      <c r="BA140" s="206">
        <v>263.8</v>
      </c>
      <c r="BB140" s="206"/>
      <c r="BC140" s="127" t="s">
        <v>172</v>
      </c>
      <c r="BD140" s="127"/>
      <c r="BE140" s="127">
        <v>271.45676855895192</v>
      </c>
      <c r="BF140" s="127">
        <v>0.97179378285684892</v>
      </c>
      <c r="BG140" s="127"/>
      <c r="BH140" s="206" t="s">
        <v>144</v>
      </c>
      <c r="BI140" s="235"/>
    </row>
    <row r="141" spans="1:61" x14ac:dyDescent="0.3">
      <c r="A141" s="231"/>
      <c r="B141" s="228"/>
      <c r="C141" s="228"/>
      <c r="D141" s="228"/>
      <c r="E141" s="228"/>
      <c r="F141" s="228"/>
      <c r="G141" s="228"/>
      <c r="H141" s="228"/>
      <c r="I141" s="228"/>
      <c r="J141" s="228"/>
      <c r="K141" s="228"/>
      <c r="L141" s="228"/>
      <c r="M141" s="206" t="s">
        <v>118</v>
      </c>
      <c r="N141" s="206" t="s">
        <v>128</v>
      </c>
      <c r="O141" s="207">
        <v>6389.3889243903004</v>
      </c>
      <c r="P141" s="208">
        <v>306.63783804027531</v>
      </c>
      <c r="Q141" s="206" t="s">
        <v>171</v>
      </c>
      <c r="R141" s="127"/>
      <c r="S141" s="127"/>
      <c r="T141" s="127"/>
      <c r="U141" s="127"/>
      <c r="V141" s="127"/>
      <c r="W141" s="206" t="s">
        <v>144</v>
      </c>
      <c r="X141" s="228"/>
      <c r="Y141" s="228"/>
      <c r="Z141" s="206" t="s">
        <v>140</v>
      </c>
      <c r="AA141" s="206" t="s">
        <v>128</v>
      </c>
      <c r="AB141" s="206">
        <v>6351</v>
      </c>
      <c r="AC141" s="206">
        <v>279.60000000000002</v>
      </c>
      <c r="AD141" s="206" t="s">
        <v>171</v>
      </c>
      <c r="AE141" s="127"/>
      <c r="AF141" s="127"/>
      <c r="AG141" s="206"/>
      <c r="AH141" s="206"/>
      <c r="AI141" s="206"/>
      <c r="AJ141" s="206" t="s">
        <v>144</v>
      </c>
      <c r="AK141" s="228"/>
      <c r="AL141" s="206" t="s">
        <v>141</v>
      </c>
      <c r="AM141" s="206" t="s">
        <v>128</v>
      </c>
      <c r="AN141" s="206">
        <v>6289</v>
      </c>
      <c r="AO141" s="206">
        <v>286.10000000000002</v>
      </c>
      <c r="AP141" s="127" t="s">
        <v>171</v>
      </c>
      <c r="AQ141" s="127"/>
      <c r="AR141" s="206"/>
      <c r="AS141" s="206"/>
      <c r="AT141" s="206"/>
      <c r="AU141" s="206"/>
      <c r="AV141" s="206" t="s">
        <v>144</v>
      </c>
      <c r="AW141" s="228"/>
      <c r="AX141" s="206" t="s">
        <v>142</v>
      </c>
      <c r="AY141" s="206" t="s">
        <v>128</v>
      </c>
      <c r="AZ141" s="206">
        <v>6296</v>
      </c>
      <c r="BA141" s="206">
        <v>265.3</v>
      </c>
      <c r="BB141" s="206"/>
      <c r="BC141" s="127" t="s">
        <v>172</v>
      </c>
      <c r="BD141" s="127"/>
      <c r="BE141" s="127">
        <v>274.54672489082969</v>
      </c>
      <c r="BF141" s="127">
        <v>0.96632003206555628</v>
      </c>
      <c r="BG141" s="127"/>
      <c r="BH141" s="206" t="s">
        <v>144</v>
      </c>
      <c r="BI141" s="235"/>
    </row>
    <row r="142" spans="1:61" x14ac:dyDescent="0.3">
      <c r="A142" s="231"/>
      <c r="B142" s="228"/>
      <c r="C142" s="228"/>
      <c r="D142" s="228"/>
      <c r="E142" s="228"/>
      <c r="F142" s="228"/>
      <c r="G142" s="228"/>
      <c r="H142" s="228"/>
      <c r="I142" s="228"/>
      <c r="J142" s="228"/>
      <c r="K142" s="228"/>
      <c r="L142" s="228"/>
      <c r="M142" s="206" t="s">
        <v>118</v>
      </c>
      <c r="N142" s="206" t="s">
        <v>131</v>
      </c>
      <c r="O142" s="207">
        <v>6637.1301047050001</v>
      </c>
      <c r="P142" s="208">
        <v>306.80388430443008</v>
      </c>
      <c r="Q142" s="206" t="s">
        <v>171</v>
      </c>
      <c r="R142" s="127"/>
      <c r="S142" s="127"/>
      <c r="T142" s="127"/>
      <c r="U142" s="127"/>
      <c r="V142" s="127"/>
      <c r="W142" s="206" t="s">
        <v>144</v>
      </c>
      <c r="X142" s="228"/>
      <c r="Y142" s="228"/>
      <c r="Z142" s="206" t="s">
        <v>140</v>
      </c>
      <c r="AA142" s="206" t="s">
        <v>131</v>
      </c>
      <c r="AB142" s="206">
        <v>6586</v>
      </c>
      <c r="AC142" s="206">
        <v>279.8</v>
      </c>
      <c r="AD142" s="206" t="s">
        <v>171</v>
      </c>
      <c r="AE142" s="127"/>
      <c r="AF142" s="127"/>
      <c r="AG142" s="206"/>
      <c r="AH142" s="206"/>
      <c r="AI142" s="206"/>
      <c r="AJ142" s="206" t="s">
        <v>144</v>
      </c>
      <c r="AK142" s="228"/>
      <c r="AL142" s="206" t="s">
        <v>141</v>
      </c>
      <c r="AM142" s="206" t="s">
        <v>131</v>
      </c>
      <c r="AN142" s="206">
        <v>6502</v>
      </c>
      <c r="AO142" s="206">
        <v>286.3</v>
      </c>
      <c r="AP142" s="127" t="s">
        <v>171</v>
      </c>
      <c r="AQ142" s="127"/>
      <c r="AR142" s="206"/>
      <c r="AS142" s="206"/>
      <c r="AT142" s="206"/>
      <c r="AU142" s="206"/>
      <c r="AV142" s="206" t="s">
        <v>144</v>
      </c>
      <c r="AW142" s="228"/>
      <c r="AX142" s="206" t="s">
        <v>142</v>
      </c>
      <c r="AY142" s="206" t="s">
        <v>131</v>
      </c>
      <c r="AZ142" s="206">
        <v>6525</v>
      </c>
      <c r="BA142" s="206">
        <v>265.5</v>
      </c>
      <c r="BB142" s="206"/>
      <c r="BC142" s="127" t="s">
        <v>172</v>
      </c>
      <c r="BD142" s="127"/>
      <c r="BE142" s="127">
        <v>276.580058224163</v>
      </c>
      <c r="BF142" s="127">
        <v>0.95993905599953699</v>
      </c>
      <c r="BG142" s="127"/>
      <c r="BH142" s="206" t="s">
        <v>144</v>
      </c>
      <c r="BI142" s="235"/>
    </row>
    <row r="143" spans="1:61" x14ac:dyDescent="0.3">
      <c r="A143" s="231"/>
      <c r="B143" s="228"/>
      <c r="C143" s="228"/>
      <c r="D143" s="228"/>
      <c r="E143" s="228"/>
      <c r="F143" s="228"/>
      <c r="G143" s="228"/>
      <c r="H143" s="228"/>
      <c r="I143" s="228"/>
      <c r="J143" s="228"/>
      <c r="K143" s="228"/>
      <c r="L143" s="228"/>
      <c r="M143" s="206" t="s">
        <v>118</v>
      </c>
      <c r="N143" s="206" t="s">
        <v>119</v>
      </c>
      <c r="O143" s="207">
        <v>7040.6812442999999</v>
      </c>
      <c r="P143" s="208">
        <v>326.53563001461998</v>
      </c>
      <c r="Q143" s="206"/>
      <c r="R143" s="127" t="s">
        <v>172</v>
      </c>
      <c r="S143" s="127"/>
      <c r="T143" s="127">
        <v>326.74150195298813</v>
      </c>
      <c r="U143" s="267">
        <v>0.99936992412308323</v>
      </c>
      <c r="V143" s="214">
        <v>255.95782477190656</v>
      </c>
      <c r="W143" s="263" t="s">
        <v>146</v>
      </c>
      <c r="X143" s="228"/>
      <c r="Y143" s="228"/>
      <c r="Z143" s="206" t="s">
        <v>140</v>
      </c>
      <c r="AA143" s="206" t="s">
        <v>119</v>
      </c>
      <c r="AB143" s="206">
        <v>7039</v>
      </c>
      <c r="AC143" s="206">
        <v>296.7</v>
      </c>
      <c r="AD143" s="206"/>
      <c r="AE143" s="127">
        <v>295.39682539682485</v>
      </c>
      <c r="AF143" s="127">
        <v>3.3852767329392861E-3</v>
      </c>
      <c r="AG143" s="206"/>
      <c r="AH143" s="206"/>
      <c r="AI143" s="206"/>
      <c r="AJ143" s="206" t="s">
        <v>143</v>
      </c>
      <c r="AK143" s="228"/>
      <c r="AL143" s="206" t="s">
        <v>141</v>
      </c>
      <c r="AM143" s="206" t="s">
        <v>119</v>
      </c>
      <c r="AN143" s="206">
        <v>7009</v>
      </c>
      <c r="AO143" s="206">
        <v>312.5</v>
      </c>
      <c r="AP143" s="127"/>
      <c r="AQ143" s="214">
        <v>219.99999999999974</v>
      </c>
      <c r="AR143" s="206">
        <v>4.5454545454545504E-3</v>
      </c>
      <c r="AS143" s="206"/>
      <c r="AT143" s="206"/>
      <c r="AU143" s="206"/>
      <c r="AV143" s="206" t="s">
        <v>143</v>
      </c>
      <c r="AW143" s="228"/>
      <c r="AX143" s="206" t="s">
        <v>142</v>
      </c>
      <c r="AY143" s="206" t="s">
        <v>119</v>
      </c>
      <c r="AZ143" s="206">
        <v>6989</v>
      </c>
      <c r="BA143" s="206">
        <v>280.7</v>
      </c>
      <c r="BB143" s="206"/>
      <c r="BC143" s="127">
        <v>112.62295081967206</v>
      </c>
      <c r="BD143" s="127">
        <v>8.8791848617176192E-3</v>
      </c>
      <c r="BE143" s="127"/>
      <c r="BF143" s="127"/>
      <c r="BG143" s="127"/>
      <c r="BH143" s="206" t="s">
        <v>143</v>
      </c>
      <c r="BI143" s="235"/>
    </row>
    <row r="144" spans="1:61" x14ac:dyDescent="0.3">
      <c r="A144" s="231"/>
      <c r="B144" s="228"/>
      <c r="C144" s="228"/>
      <c r="D144" s="228"/>
      <c r="E144" s="228"/>
      <c r="F144" s="228"/>
      <c r="G144" s="228"/>
      <c r="H144" s="228"/>
      <c r="I144" s="228"/>
      <c r="J144" s="228"/>
      <c r="K144" s="228"/>
      <c r="L144" s="228"/>
      <c r="M144" s="206" t="s">
        <v>118</v>
      </c>
      <c r="N144" s="206" t="s">
        <v>122</v>
      </c>
      <c r="O144" s="207">
        <v>7413.5426295991001</v>
      </c>
      <c r="P144" s="208">
        <v>328.23873319387349</v>
      </c>
      <c r="Q144" s="206"/>
      <c r="R144" s="127">
        <v>249.03393351491437</v>
      </c>
      <c r="S144" s="127">
        <v>4.0155170256751822E-3</v>
      </c>
      <c r="T144" s="127"/>
      <c r="U144" s="127"/>
      <c r="V144" s="127"/>
      <c r="W144" s="206" t="s">
        <v>143</v>
      </c>
      <c r="X144" s="228"/>
      <c r="Y144" s="228"/>
      <c r="Z144" s="206" t="s">
        <v>140</v>
      </c>
      <c r="AA144" s="206" t="s">
        <v>122</v>
      </c>
      <c r="AB144" s="206">
        <v>7395</v>
      </c>
      <c r="AC144" s="206">
        <v>297.39999999999998</v>
      </c>
      <c r="AD144" s="206"/>
      <c r="AE144" s="127">
        <v>508.57142857143685</v>
      </c>
      <c r="AF144" s="127">
        <v>1.9662921348314287E-3</v>
      </c>
      <c r="AG144" s="206"/>
      <c r="AH144" s="206"/>
      <c r="AI144" s="206"/>
      <c r="AJ144" s="206" t="s">
        <v>143</v>
      </c>
      <c r="AK144" s="228"/>
      <c r="AL144" s="206" t="s">
        <v>141</v>
      </c>
      <c r="AM144" s="206" t="s">
        <v>122</v>
      </c>
      <c r="AN144" s="206">
        <v>7339</v>
      </c>
      <c r="AO144" s="206">
        <v>313.10000000000002</v>
      </c>
      <c r="AP144" s="127"/>
      <c r="AQ144" s="214">
        <v>549.9999999999792</v>
      </c>
      <c r="AR144" s="206">
        <v>1.8181818181818869E-3</v>
      </c>
      <c r="AS144" s="206"/>
      <c r="AT144" s="206"/>
      <c r="AU144" s="206"/>
      <c r="AV144" s="206" t="s">
        <v>143</v>
      </c>
      <c r="AW144" s="228"/>
      <c r="AX144" s="206" t="s">
        <v>142</v>
      </c>
      <c r="AY144" s="206" t="s">
        <v>122</v>
      </c>
      <c r="AZ144" s="206">
        <v>7337</v>
      </c>
      <c r="BA144" s="206">
        <v>282.2</v>
      </c>
      <c r="BB144" s="127"/>
      <c r="BC144" s="273">
        <v>232</v>
      </c>
      <c r="BD144" s="127">
        <v>4.3103448275862068E-3</v>
      </c>
      <c r="BE144" s="127"/>
      <c r="BF144" s="127"/>
      <c r="BG144" s="127"/>
      <c r="BH144" s="206" t="s">
        <v>143</v>
      </c>
      <c r="BI144" s="235"/>
    </row>
    <row r="145" spans="1:61" x14ac:dyDescent="0.3">
      <c r="A145" s="231"/>
      <c r="B145" s="228"/>
      <c r="C145" s="228"/>
      <c r="D145" s="228"/>
      <c r="E145" s="228"/>
      <c r="F145" s="228"/>
      <c r="G145" s="228"/>
      <c r="H145" s="228"/>
      <c r="I145" s="228"/>
      <c r="J145" s="228"/>
      <c r="K145" s="228"/>
      <c r="L145" s="228"/>
      <c r="M145" s="206" t="s">
        <v>118</v>
      </c>
      <c r="N145" s="206" t="s">
        <v>123</v>
      </c>
      <c r="O145" s="207">
        <v>7662.2216672974</v>
      </c>
      <c r="P145" s="208">
        <v>328.79131026967781</v>
      </c>
      <c r="Q145" s="206"/>
      <c r="R145" s="127">
        <v>450.03502422956421</v>
      </c>
      <c r="S145" s="127">
        <v>2.2220492765245244E-3</v>
      </c>
      <c r="T145" s="127"/>
      <c r="U145" s="127"/>
      <c r="V145" s="127"/>
      <c r="W145" s="206" t="s">
        <v>143</v>
      </c>
      <c r="X145" s="228"/>
      <c r="Y145" s="228"/>
      <c r="Z145" s="206" t="s">
        <v>140</v>
      </c>
      <c r="AA145" s="206" t="s">
        <v>123</v>
      </c>
      <c r="AB145" s="206">
        <v>7630</v>
      </c>
      <c r="AC145" s="206">
        <v>297.60000000000002</v>
      </c>
      <c r="AD145" s="206"/>
      <c r="AE145" s="127">
        <v>1174.9999999997328</v>
      </c>
      <c r="AF145" s="127">
        <v>8.5106382978742756E-4</v>
      </c>
      <c r="AG145" s="206"/>
      <c r="AH145" s="206"/>
      <c r="AI145" s="206"/>
      <c r="AJ145" s="206" t="s">
        <v>143</v>
      </c>
      <c r="AK145" s="228"/>
      <c r="AL145" s="206" t="s">
        <v>141</v>
      </c>
      <c r="AM145" s="206" t="s">
        <v>123</v>
      </c>
      <c r="AN145" s="206">
        <v>7552</v>
      </c>
      <c r="AO145" s="206">
        <v>313.3</v>
      </c>
      <c r="AP145" s="127"/>
      <c r="AQ145" s="214">
        <v>1065.0000000000605</v>
      </c>
      <c r="AR145" s="206">
        <v>9.3896713615018138E-4</v>
      </c>
      <c r="AS145" s="206"/>
      <c r="AT145" s="206"/>
      <c r="AU145" s="206"/>
      <c r="AV145" s="206" t="s">
        <v>143</v>
      </c>
      <c r="AW145" s="228"/>
      <c r="AX145" s="206" t="s">
        <v>142</v>
      </c>
      <c r="AY145" s="206" t="s">
        <v>123</v>
      </c>
      <c r="AZ145" s="206">
        <v>7566</v>
      </c>
      <c r="BA145" s="206">
        <v>282.39999999999998</v>
      </c>
      <c r="BB145" s="206"/>
      <c r="BC145" s="127">
        <v>339.41176470588465</v>
      </c>
      <c r="BD145" s="127">
        <v>2.9462738301559593E-3</v>
      </c>
      <c r="BE145" s="127"/>
      <c r="BF145" s="127"/>
      <c r="BG145" s="127"/>
      <c r="BH145" s="206" t="s">
        <v>143</v>
      </c>
      <c r="BI145" s="235"/>
    </row>
    <row r="146" spans="1:61" x14ac:dyDescent="0.3">
      <c r="A146" s="231"/>
      <c r="B146" s="228"/>
      <c r="C146" s="228"/>
      <c r="D146" s="228"/>
      <c r="E146" s="228"/>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35"/>
    </row>
    <row r="147" spans="1:61" ht="15" thickBot="1" x14ac:dyDescent="0.35">
      <c r="A147" s="232"/>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c r="AB147" s="233"/>
      <c r="AC147" s="233"/>
      <c r="AD147" s="233"/>
      <c r="AE147" s="233"/>
      <c r="AF147" s="233"/>
      <c r="AG147" s="233"/>
      <c r="AH147" s="233"/>
      <c r="AI147" s="233"/>
      <c r="AJ147" s="233"/>
      <c r="AK147" s="233"/>
      <c r="AL147" s="233"/>
      <c r="AM147" s="233"/>
      <c r="AN147" s="233"/>
      <c r="AO147" s="233"/>
      <c r="AP147" s="233"/>
      <c r="AQ147" s="233"/>
      <c r="AR147" s="233"/>
      <c r="AS147" s="233"/>
      <c r="AT147" s="233"/>
      <c r="AU147" s="233"/>
      <c r="AV147" s="233"/>
      <c r="AW147" s="233"/>
      <c r="AX147" s="233"/>
      <c r="AY147" s="233"/>
      <c r="AZ147" s="233"/>
      <c r="BA147" s="233"/>
      <c r="BB147" s="233"/>
      <c r="BC147" s="233"/>
      <c r="BD147" s="233"/>
      <c r="BE147" s="233"/>
      <c r="BF147" s="233"/>
      <c r="BG147" s="233"/>
      <c r="BH147" s="233"/>
      <c r="BI147" s="236"/>
    </row>
    <row r="148" spans="1:61" x14ac:dyDescent="0.3">
      <c r="A148" s="244"/>
      <c r="B148" s="226"/>
      <c r="C148" s="226"/>
      <c r="D148" s="226"/>
      <c r="E148" s="226"/>
      <c r="F148" s="226"/>
      <c r="G148" s="226"/>
      <c r="H148" s="226"/>
      <c r="I148" s="226"/>
      <c r="J148" s="226"/>
      <c r="K148" s="226"/>
      <c r="L148" s="226"/>
      <c r="M148" s="226"/>
      <c r="N148" s="226"/>
      <c r="O148" s="226"/>
      <c r="P148" s="226"/>
      <c r="Q148" s="226"/>
      <c r="R148" s="226"/>
      <c r="S148" s="226"/>
      <c r="T148" s="226"/>
      <c r="U148" s="4"/>
      <c r="V148" s="4"/>
      <c r="W148" s="4"/>
      <c r="X148" s="4"/>
      <c r="Y148" s="226"/>
      <c r="Z148" s="234"/>
    </row>
    <row r="149" spans="1:61" x14ac:dyDescent="0.3">
      <c r="A149" s="227" t="s">
        <v>247</v>
      </c>
      <c r="B149" s="228"/>
      <c r="C149" s="228"/>
      <c r="D149" s="228"/>
      <c r="E149" s="228"/>
      <c r="F149" s="228"/>
      <c r="G149" s="228"/>
      <c r="H149" s="228"/>
      <c r="I149" s="228"/>
      <c r="J149" s="228"/>
      <c r="K149" s="228"/>
      <c r="L149" s="228"/>
      <c r="M149" s="228"/>
      <c r="N149" s="228"/>
      <c r="O149" s="209" t="s">
        <v>118</v>
      </c>
      <c r="P149" s="209" t="s">
        <v>140</v>
      </c>
      <c r="Q149" s="209" t="s">
        <v>141</v>
      </c>
      <c r="R149" s="209" t="s">
        <v>142</v>
      </c>
      <c r="S149" s="228"/>
      <c r="T149" s="228"/>
      <c r="U149" s="209" t="s">
        <v>118</v>
      </c>
      <c r="V149" s="209" t="s">
        <v>140</v>
      </c>
      <c r="W149" s="209" t="s">
        <v>141</v>
      </c>
      <c r="X149" s="209" t="s">
        <v>142</v>
      </c>
      <c r="Y149" s="228"/>
      <c r="Z149" s="235"/>
    </row>
    <row r="150" spans="1:61" x14ac:dyDescent="0.3">
      <c r="A150" s="227" t="s">
        <v>195</v>
      </c>
      <c r="B150" s="228"/>
      <c r="C150" s="228"/>
      <c r="D150" s="228"/>
      <c r="E150" s="228"/>
      <c r="F150" s="228"/>
      <c r="G150" s="228"/>
      <c r="H150" s="228"/>
      <c r="I150" s="228"/>
      <c r="J150" s="228"/>
      <c r="K150" s="228"/>
      <c r="L150" s="228"/>
      <c r="M150" s="228"/>
      <c r="N150" s="209" t="s">
        <v>201</v>
      </c>
      <c r="O150" s="208">
        <v>265.32347369074</v>
      </c>
      <c r="P150" s="127">
        <v>243.9</v>
      </c>
      <c r="Q150" s="127">
        <v>260.2</v>
      </c>
      <c r="R150" s="127">
        <v>231</v>
      </c>
      <c r="S150" s="228"/>
      <c r="T150" s="209" t="s">
        <v>248</v>
      </c>
      <c r="U150" s="208">
        <v>273.39051495281001</v>
      </c>
      <c r="V150" s="127">
        <v>250.3</v>
      </c>
      <c r="W150" s="127">
        <v>265.2</v>
      </c>
      <c r="X150" s="127">
        <v>237.7</v>
      </c>
      <c r="Y150" s="228"/>
      <c r="Z150" s="235"/>
    </row>
    <row r="151" spans="1:61" x14ac:dyDescent="0.3">
      <c r="A151" s="231"/>
      <c r="B151" s="228"/>
      <c r="C151" s="228"/>
      <c r="D151" s="228"/>
      <c r="E151" s="228"/>
      <c r="F151" s="228"/>
      <c r="G151" s="228"/>
      <c r="H151" s="228"/>
      <c r="I151" s="228"/>
      <c r="J151" s="228"/>
      <c r="K151" s="228"/>
      <c r="L151" s="228"/>
      <c r="M151" s="228"/>
      <c r="N151" s="209" t="s">
        <v>248</v>
      </c>
      <c r="O151" s="208">
        <v>273.39051495281001</v>
      </c>
      <c r="P151" s="127">
        <v>250.3</v>
      </c>
      <c r="Q151" s="127">
        <v>265.2</v>
      </c>
      <c r="R151" s="127">
        <v>237.7</v>
      </c>
      <c r="S151" s="228"/>
      <c r="T151" s="209" t="s">
        <v>259</v>
      </c>
      <c r="U151" s="208">
        <v>276.17414157486002</v>
      </c>
      <c r="V151" s="127">
        <v>253.3</v>
      </c>
      <c r="W151" s="127">
        <v>266.8</v>
      </c>
      <c r="X151" s="127">
        <v>240.1</v>
      </c>
      <c r="Y151" s="228"/>
      <c r="Z151" s="235"/>
    </row>
    <row r="152" spans="1:61" ht="38.4" customHeight="1" x14ac:dyDescent="0.3">
      <c r="A152" s="229" t="s">
        <v>192</v>
      </c>
      <c r="B152" s="343" t="s">
        <v>264</v>
      </c>
      <c r="C152" s="343"/>
      <c r="D152" s="343"/>
      <c r="E152" s="343"/>
      <c r="F152" s="343"/>
      <c r="G152" s="343"/>
      <c r="H152" s="343"/>
      <c r="I152" s="343"/>
      <c r="J152" s="343"/>
      <c r="K152" s="343"/>
      <c r="L152" s="343"/>
      <c r="M152" s="228"/>
      <c r="N152" s="279" t="s">
        <v>194</v>
      </c>
      <c r="O152" s="207">
        <f>O151-O150</f>
        <v>8.0670412620700063</v>
      </c>
      <c r="P152" s="207">
        <f>P151-P150</f>
        <v>6.4000000000000057</v>
      </c>
      <c r="Q152" s="207">
        <f t="shared" ref="Q152:R152" si="13">Q151-Q150</f>
        <v>5</v>
      </c>
      <c r="R152" s="207">
        <f t="shared" si="13"/>
        <v>6.6999999999999886</v>
      </c>
      <c r="S152" s="228"/>
      <c r="T152" s="279" t="s">
        <v>194</v>
      </c>
      <c r="U152" s="207">
        <f>U151-U150</f>
        <v>2.7836266220500079</v>
      </c>
      <c r="V152" s="207">
        <f>V151-V150</f>
        <v>3</v>
      </c>
      <c r="W152" s="207">
        <f t="shared" ref="W152:X152" si="14">W151-W150</f>
        <v>1.6000000000000227</v>
      </c>
      <c r="X152" s="207">
        <f t="shared" si="14"/>
        <v>2.4000000000000057</v>
      </c>
      <c r="Y152" s="228"/>
      <c r="Z152" s="235"/>
    </row>
    <row r="153" spans="1:61" ht="55.8" customHeight="1" x14ac:dyDescent="0.3">
      <c r="A153" s="230" t="s">
        <v>193</v>
      </c>
      <c r="B153" s="343"/>
      <c r="C153" s="343"/>
      <c r="D153" s="343"/>
      <c r="E153" s="343"/>
      <c r="F153" s="343"/>
      <c r="G153" s="343"/>
      <c r="H153" s="343"/>
      <c r="I153" s="343"/>
      <c r="J153" s="343"/>
      <c r="K153" s="343"/>
      <c r="L153" s="343"/>
      <c r="M153" s="228"/>
      <c r="N153" s="278" t="s">
        <v>251</v>
      </c>
      <c r="O153" s="274">
        <f>(O151-O150)/O150</f>
        <v>3.0404551658602653E-2</v>
      </c>
      <c r="P153" s="274">
        <f t="shared" ref="P153:R153" si="15">(P151-P150)/P150</f>
        <v>2.6240262402624049E-2</v>
      </c>
      <c r="Q153" s="274">
        <f t="shared" si="15"/>
        <v>1.9215987701767873E-2</v>
      </c>
      <c r="R153" s="274">
        <f t="shared" si="15"/>
        <v>2.9004329004328956E-2</v>
      </c>
      <c r="S153" s="228"/>
      <c r="T153" s="278" t="s">
        <v>251</v>
      </c>
      <c r="U153" s="274">
        <f>(U151-U150)/U150</f>
        <v>1.0181869778951512E-2</v>
      </c>
      <c r="V153" s="274">
        <f t="shared" ref="V153:X153" si="16">(V151-V150)/V150</f>
        <v>1.1985617259288853E-2</v>
      </c>
      <c r="W153" s="274">
        <f t="shared" si="16"/>
        <v>6.0331825037708252E-3</v>
      </c>
      <c r="X153" s="274">
        <f t="shared" si="16"/>
        <v>1.0096760622633595E-2</v>
      </c>
      <c r="Y153" s="228"/>
      <c r="Z153" s="235"/>
    </row>
    <row r="154" spans="1:61" x14ac:dyDescent="0.3">
      <c r="A154" s="231"/>
      <c r="B154" s="343"/>
      <c r="C154" s="343"/>
      <c r="D154" s="343"/>
      <c r="E154" s="343"/>
      <c r="F154" s="343"/>
      <c r="G154" s="343"/>
      <c r="H154" s="343"/>
      <c r="I154" s="343"/>
      <c r="J154" s="343"/>
      <c r="K154" s="343"/>
      <c r="L154" s="343"/>
      <c r="M154" s="228"/>
      <c r="N154" s="228"/>
      <c r="O154" s="209" t="s">
        <v>118</v>
      </c>
      <c r="P154" s="209" t="s">
        <v>140</v>
      </c>
      <c r="Q154" s="209" t="s">
        <v>141</v>
      </c>
      <c r="R154" s="209" t="s">
        <v>142</v>
      </c>
      <c r="S154" s="228"/>
      <c r="T154" s="228"/>
      <c r="U154" s="209" t="s">
        <v>118</v>
      </c>
      <c r="V154" s="209" t="s">
        <v>140</v>
      </c>
      <c r="W154" s="209" t="s">
        <v>141</v>
      </c>
      <c r="X154" s="209" t="s">
        <v>142</v>
      </c>
      <c r="Y154" s="228"/>
      <c r="Z154" s="235"/>
    </row>
    <row r="155" spans="1:61" x14ac:dyDescent="0.3">
      <c r="A155" s="231"/>
      <c r="B155" s="343"/>
      <c r="C155" s="343"/>
      <c r="D155" s="343"/>
      <c r="E155" s="343"/>
      <c r="F155" s="343"/>
      <c r="G155" s="343"/>
      <c r="H155" s="343"/>
      <c r="I155" s="343"/>
      <c r="J155" s="343"/>
      <c r="K155" s="343"/>
      <c r="L155" s="343"/>
      <c r="M155" s="228"/>
      <c r="N155" s="209" t="s">
        <v>249</v>
      </c>
      <c r="O155" s="207">
        <v>1937.2268891053</v>
      </c>
      <c r="P155" s="127">
        <v>1899</v>
      </c>
      <c r="Q155" s="127">
        <v>1739</v>
      </c>
      <c r="R155" s="127">
        <v>1757</v>
      </c>
      <c r="S155" s="228"/>
      <c r="T155" s="209" t="s">
        <v>250</v>
      </c>
      <c r="U155" s="207">
        <v>2051.8119673496999</v>
      </c>
      <c r="V155" s="127">
        <v>2013</v>
      </c>
      <c r="W155" s="127">
        <v>1858</v>
      </c>
      <c r="X155" s="127">
        <v>1855</v>
      </c>
      <c r="Y155" s="228"/>
      <c r="Z155" s="235"/>
    </row>
    <row r="156" spans="1:61" x14ac:dyDescent="0.3">
      <c r="A156" s="231"/>
      <c r="B156" s="228"/>
      <c r="C156" s="228"/>
      <c r="D156" s="228"/>
      <c r="E156" s="228"/>
      <c r="F156" s="228"/>
      <c r="G156" s="228"/>
      <c r="H156" s="228"/>
      <c r="I156" s="228"/>
      <c r="J156" s="228"/>
      <c r="K156" s="228"/>
      <c r="L156" s="228"/>
      <c r="M156" s="228"/>
      <c r="N156" s="209" t="s">
        <v>250</v>
      </c>
      <c r="O156" s="207">
        <v>2051.8119673496999</v>
      </c>
      <c r="P156" s="127">
        <v>2013</v>
      </c>
      <c r="Q156" s="127">
        <v>1858</v>
      </c>
      <c r="R156" s="127">
        <v>1855</v>
      </c>
      <c r="S156" s="228"/>
      <c r="T156" s="209" t="s">
        <v>260</v>
      </c>
      <c r="U156" s="207">
        <v>2127.7243878077002</v>
      </c>
      <c r="V156" s="127">
        <v>2091</v>
      </c>
      <c r="W156" s="127">
        <v>1937</v>
      </c>
      <c r="X156" s="127">
        <v>1921</v>
      </c>
      <c r="Y156" s="228"/>
      <c r="Z156" s="235"/>
    </row>
    <row r="157" spans="1:61" x14ac:dyDescent="0.3">
      <c r="A157" s="231"/>
      <c r="B157" s="228"/>
      <c r="C157" s="228"/>
      <c r="D157" s="228"/>
      <c r="E157" s="228"/>
      <c r="F157" s="228"/>
      <c r="G157" s="228"/>
      <c r="H157" s="228"/>
      <c r="I157" s="228"/>
      <c r="J157" s="228"/>
      <c r="K157" s="228"/>
      <c r="L157" s="228"/>
      <c r="M157" s="228"/>
      <c r="N157" s="277" t="s">
        <v>200</v>
      </c>
      <c r="O157" s="207">
        <f>O156-O155</f>
        <v>114.58507824439994</v>
      </c>
      <c r="P157" s="207">
        <f>P156-P155</f>
        <v>114</v>
      </c>
      <c r="Q157" s="207">
        <f>Q156-Q155</f>
        <v>119</v>
      </c>
      <c r="R157" s="207">
        <f>R156-R155</f>
        <v>98</v>
      </c>
      <c r="S157" s="228"/>
      <c r="T157" s="277" t="s">
        <v>200</v>
      </c>
      <c r="U157" s="207">
        <f>U156-U155</f>
        <v>75.91242045800027</v>
      </c>
      <c r="V157" s="207">
        <f>V156-V155</f>
        <v>78</v>
      </c>
      <c r="W157" s="207">
        <f>W156-W155</f>
        <v>79</v>
      </c>
      <c r="X157" s="207">
        <f>X156-X155</f>
        <v>66</v>
      </c>
      <c r="Y157" s="228"/>
      <c r="Z157" s="235"/>
    </row>
    <row r="158" spans="1:61" x14ac:dyDescent="0.3">
      <c r="A158" s="231"/>
      <c r="B158" s="228"/>
      <c r="C158" s="228"/>
      <c r="D158" s="228"/>
      <c r="E158" s="228"/>
      <c r="F158" s="228"/>
      <c r="G158" s="228"/>
      <c r="H158" s="228"/>
      <c r="I158" s="228"/>
      <c r="J158" s="228"/>
      <c r="K158" s="228"/>
      <c r="L158" s="228"/>
      <c r="M158" s="228"/>
      <c r="N158" s="278" t="s">
        <v>254</v>
      </c>
      <c r="O158" s="274">
        <f>(O156-O155)/O155</f>
        <v>5.9149023219123582E-2</v>
      </c>
      <c r="P158" s="274">
        <f>(P156-P155)/P155</f>
        <v>6.0031595576619273E-2</v>
      </c>
      <c r="Q158" s="274">
        <f>(Q156-Q155)/Q155</f>
        <v>6.8430132259919493E-2</v>
      </c>
      <c r="R158" s="274">
        <f>(R156-R155)/R155</f>
        <v>5.5776892430278883E-2</v>
      </c>
      <c r="S158" s="228"/>
      <c r="T158" s="278" t="s">
        <v>254</v>
      </c>
      <c r="U158" s="274">
        <f>(U156-U155)/U155</f>
        <v>3.6997747194181446E-2</v>
      </c>
      <c r="V158" s="274">
        <f>(V156-V155)/V155</f>
        <v>3.8748137108792845E-2</v>
      </c>
      <c r="W158" s="274">
        <f>(W156-W155)/W155</f>
        <v>4.2518837459634015E-2</v>
      </c>
      <c r="X158" s="274">
        <f>(X156-X155)/X155</f>
        <v>3.5579514824797841E-2</v>
      </c>
      <c r="Y158" s="228"/>
      <c r="Z158" s="235"/>
    </row>
    <row r="159" spans="1:61" x14ac:dyDescent="0.3">
      <c r="A159" s="231"/>
      <c r="B159" s="228"/>
      <c r="C159" s="228"/>
      <c r="D159" s="228"/>
      <c r="E159" s="228"/>
      <c r="F159" s="228"/>
      <c r="G159" s="228"/>
      <c r="H159" s="228"/>
      <c r="I159" s="228"/>
      <c r="J159" s="228"/>
      <c r="K159" s="228"/>
      <c r="L159" s="228"/>
      <c r="M159" s="228"/>
      <c r="N159" s="278" t="s">
        <v>262</v>
      </c>
      <c r="O159" s="207">
        <f>O157/O152</f>
        <v>14.20410216359763</v>
      </c>
      <c r="P159" s="207">
        <f>P157/P152</f>
        <v>17.812499999999986</v>
      </c>
      <c r="Q159" s="207">
        <f>Q157/Q152</f>
        <v>23.8</v>
      </c>
      <c r="R159" s="207">
        <f>R157/R152</f>
        <v>14.626865671641816</v>
      </c>
      <c r="S159" s="228"/>
      <c r="T159" s="278" t="s">
        <v>262</v>
      </c>
      <c r="U159" s="207">
        <f>U157/U152</f>
        <v>27.271049880279705</v>
      </c>
      <c r="V159" s="207">
        <f>V157/V152</f>
        <v>26</v>
      </c>
      <c r="W159" s="207">
        <f>W157/W152</f>
        <v>49.374999999999297</v>
      </c>
      <c r="X159" s="207">
        <f>X157/X152</f>
        <v>27.499999999999936</v>
      </c>
      <c r="Y159" s="228"/>
      <c r="Z159" s="235"/>
    </row>
    <row r="160" spans="1:61" x14ac:dyDescent="0.3">
      <c r="A160" s="231"/>
      <c r="B160" s="228"/>
      <c r="C160" s="228"/>
      <c r="D160" s="228"/>
      <c r="E160" s="228"/>
      <c r="F160" s="228"/>
      <c r="G160" s="228"/>
      <c r="H160" s="228"/>
      <c r="I160" s="228"/>
      <c r="J160" s="228"/>
      <c r="K160" s="228"/>
      <c r="L160" s="228"/>
      <c r="M160" s="228"/>
      <c r="N160" s="228"/>
      <c r="O160" s="209" t="s">
        <v>118</v>
      </c>
      <c r="P160" s="209" t="s">
        <v>140</v>
      </c>
      <c r="Q160" s="209" t="s">
        <v>141</v>
      </c>
      <c r="R160" s="209" t="s">
        <v>142</v>
      </c>
      <c r="S160" s="228"/>
      <c r="T160" s="228"/>
      <c r="U160" s="209" t="s">
        <v>118</v>
      </c>
      <c r="V160" s="209" t="s">
        <v>140</v>
      </c>
      <c r="W160" s="209" t="s">
        <v>141</v>
      </c>
      <c r="X160" s="209" t="s">
        <v>142</v>
      </c>
      <c r="Y160" s="228"/>
      <c r="Z160" s="235"/>
    </row>
    <row r="161" spans="1:26" ht="12.6" customHeight="1" x14ac:dyDescent="0.3">
      <c r="A161" s="231"/>
      <c r="B161" s="228"/>
      <c r="C161" s="228"/>
      <c r="D161" s="228"/>
      <c r="E161" s="228"/>
      <c r="F161" s="228"/>
      <c r="G161" s="228"/>
      <c r="H161" s="228"/>
      <c r="I161" s="228"/>
      <c r="J161" s="228"/>
      <c r="K161" s="228"/>
      <c r="L161" s="228"/>
      <c r="M161" s="228"/>
      <c r="N161" s="280" t="s">
        <v>255</v>
      </c>
      <c r="O161" s="207">
        <v>15563.470299804199</v>
      </c>
      <c r="P161" s="127">
        <v>15444</v>
      </c>
      <c r="Q161" s="127">
        <v>15778</v>
      </c>
      <c r="R161" s="127">
        <v>15843</v>
      </c>
      <c r="S161" s="228"/>
      <c r="T161" s="280" t="s">
        <v>256</v>
      </c>
      <c r="U161" s="207">
        <v>17225.447162542001</v>
      </c>
      <c r="V161" s="127">
        <v>17062</v>
      </c>
      <c r="W161" s="127">
        <v>17426</v>
      </c>
      <c r="X161" s="127">
        <v>17552</v>
      </c>
      <c r="Y161" s="228"/>
      <c r="Z161" s="235"/>
    </row>
    <row r="162" spans="1:26" x14ac:dyDescent="0.3">
      <c r="A162" s="231"/>
      <c r="B162" s="228"/>
      <c r="C162" s="228"/>
      <c r="D162" s="228"/>
      <c r="E162" s="228"/>
      <c r="F162" s="228"/>
      <c r="G162" s="228"/>
      <c r="H162" s="228"/>
      <c r="I162" s="228"/>
      <c r="J162" s="228"/>
      <c r="K162" s="228"/>
      <c r="L162" s="228"/>
      <c r="M162" s="228"/>
      <c r="N162" s="280" t="s">
        <v>256</v>
      </c>
      <c r="O162" s="207">
        <v>17225.447162542001</v>
      </c>
      <c r="P162" s="127">
        <v>17062</v>
      </c>
      <c r="Q162" s="127">
        <v>17426</v>
      </c>
      <c r="R162" s="127">
        <v>17552</v>
      </c>
      <c r="S162" s="228"/>
      <c r="T162" s="280" t="s">
        <v>261</v>
      </c>
      <c r="U162" s="207">
        <v>18422.603758874498</v>
      </c>
      <c r="V162" s="127">
        <v>18224</v>
      </c>
      <c r="W162" s="127">
        <v>18589</v>
      </c>
      <c r="X162" s="127">
        <v>18796</v>
      </c>
      <c r="Y162" s="228"/>
      <c r="Z162" s="235"/>
    </row>
    <row r="163" spans="1:26" x14ac:dyDescent="0.3">
      <c r="A163" s="231"/>
      <c r="B163" s="228"/>
      <c r="C163" s="228"/>
      <c r="D163" s="228"/>
      <c r="E163" s="228"/>
      <c r="F163" s="228"/>
      <c r="G163" s="228"/>
      <c r="H163" s="228"/>
      <c r="I163" s="228"/>
      <c r="J163" s="228"/>
      <c r="K163" s="228"/>
      <c r="L163" s="228"/>
      <c r="M163" s="228"/>
      <c r="N163" s="275" t="s">
        <v>257</v>
      </c>
      <c r="O163" s="207">
        <f>O162-O161</f>
        <v>1661.9768627378016</v>
      </c>
      <c r="P163" s="207">
        <f>P162-P161</f>
        <v>1618</v>
      </c>
      <c r="Q163" s="207">
        <f>Q162-Q161</f>
        <v>1648</v>
      </c>
      <c r="R163" s="207">
        <f>R162-R161</f>
        <v>1709</v>
      </c>
      <c r="S163" s="228"/>
      <c r="T163" s="275" t="s">
        <v>257</v>
      </c>
      <c r="U163" s="207">
        <f>U162-U161</f>
        <v>1197.1565963324974</v>
      </c>
      <c r="V163" s="207">
        <f>V162-V161</f>
        <v>1162</v>
      </c>
      <c r="W163" s="207">
        <f>W162-W161</f>
        <v>1163</v>
      </c>
      <c r="X163" s="207">
        <f>X162-X161</f>
        <v>1244</v>
      </c>
      <c r="Y163" s="228"/>
      <c r="Z163" s="235"/>
    </row>
    <row r="164" spans="1:26" x14ac:dyDescent="0.3">
      <c r="A164" s="231"/>
      <c r="B164" s="228"/>
      <c r="C164" s="228"/>
      <c r="D164" s="228"/>
      <c r="E164" s="228"/>
      <c r="F164" s="228"/>
      <c r="G164" s="228"/>
      <c r="H164" s="228"/>
      <c r="I164" s="228"/>
      <c r="J164" s="228"/>
      <c r="K164" s="228"/>
      <c r="L164" s="228"/>
      <c r="M164" s="228"/>
      <c r="N164" s="276" t="s">
        <v>258</v>
      </c>
      <c r="O164" s="274">
        <f>(O162-O161)/O161</f>
        <v>0.10678703597093706</v>
      </c>
      <c r="P164" s="274">
        <f>(P162-P161)/P161</f>
        <v>0.10476560476560477</v>
      </c>
      <c r="Q164" s="274">
        <f>(Q162-Q161)/Q161</f>
        <v>0.10444923310939283</v>
      </c>
      <c r="R164" s="274">
        <f>(R162-R161)/R161</f>
        <v>0.10787098403080225</v>
      </c>
      <c r="S164" s="228"/>
      <c r="T164" s="276" t="s">
        <v>258</v>
      </c>
      <c r="U164" s="274">
        <f>(U162-U161)/U161</f>
        <v>6.9499304432328601E-2</v>
      </c>
      <c r="V164" s="274">
        <f>(V162-V161)/V161</f>
        <v>6.8104559840581405E-2</v>
      </c>
      <c r="W164" s="274">
        <f>(W162-W161)/W161</f>
        <v>6.6739354986801336E-2</v>
      </c>
      <c r="X164" s="274">
        <f>(X162-X161)/X161</f>
        <v>7.0875113947128532E-2</v>
      </c>
      <c r="Y164" s="228"/>
      <c r="Z164" s="235"/>
    </row>
    <row r="165" spans="1:26" ht="15" thickBot="1" x14ac:dyDescent="0.35">
      <c r="A165" s="232"/>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6"/>
    </row>
    <row r="166" spans="1:26" x14ac:dyDescent="0.3">
      <c r="A166" s="244"/>
      <c r="B166" s="226"/>
      <c r="C166" s="226"/>
      <c r="D166" s="226"/>
      <c r="E166" s="226"/>
      <c r="F166" s="226"/>
      <c r="G166" s="226"/>
      <c r="H166" s="226"/>
      <c r="I166" s="226"/>
      <c r="J166" s="226"/>
      <c r="K166" s="226"/>
      <c r="L166" s="226"/>
      <c r="M166" s="226"/>
      <c r="N166" s="4"/>
      <c r="O166" s="226"/>
      <c r="P166" s="226"/>
      <c r="Q166" s="226"/>
      <c r="R166" s="226"/>
      <c r="S166" s="226"/>
      <c r="T166" s="226"/>
      <c r="U166" s="226"/>
      <c r="V166" s="226"/>
      <c r="W166" s="226"/>
      <c r="X166" s="226"/>
      <c r="Y166" s="226"/>
      <c r="Z166" s="234"/>
    </row>
    <row r="167" spans="1:26" x14ac:dyDescent="0.3">
      <c r="A167" s="227" t="s">
        <v>247</v>
      </c>
      <c r="B167" s="228"/>
      <c r="C167" s="228"/>
      <c r="D167" s="228"/>
      <c r="E167" s="228"/>
      <c r="F167" s="228"/>
      <c r="G167" s="228"/>
      <c r="H167" s="228"/>
      <c r="I167" s="228"/>
      <c r="J167" s="228"/>
      <c r="K167" s="228"/>
      <c r="L167" s="228"/>
      <c r="M167" s="228"/>
      <c r="N167" s="228"/>
      <c r="O167" s="209" t="s">
        <v>118</v>
      </c>
      <c r="P167" s="209" t="s">
        <v>140</v>
      </c>
      <c r="Q167" s="209" t="s">
        <v>141</v>
      </c>
      <c r="R167" s="209" t="s">
        <v>142</v>
      </c>
      <c r="S167" s="228"/>
      <c r="T167" s="228"/>
      <c r="U167" s="228"/>
      <c r="V167" s="228"/>
      <c r="W167" s="228"/>
      <c r="X167" s="228"/>
      <c r="Y167" s="228"/>
      <c r="Z167" s="235"/>
    </row>
    <row r="168" spans="1:26" x14ac:dyDescent="0.3">
      <c r="A168" s="227" t="s">
        <v>206</v>
      </c>
      <c r="B168" s="228"/>
      <c r="C168" s="228"/>
      <c r="D168" s="228"/>
      <c r="E168" s="228"/>
      <c r="F168" s="228"/>
      <c r="G168" s="228"/>
      <c r="H168" s="228"/>
      <c r="I168" s="228"/>
      <c r="J168" s="228"/>
      <c r="K168" s="228"/>
      <c r="L168" s="228"/>
      <c r="M168" s="228"/>
      <c r="N168" s="209" t="s">
        <v>265</v>
      </c>
      <c r="O168" s="208">
        <v>293.12209487147652</v>
      </c>
      <c r="P168" s="127">
        <v>269.7</v>
      </c>
      <c r="Q168" s="127">
        <v>274.8</v>
      </c>
      <c r="R168" s="127">
        <v>247.6</v>
      </c>
      <c r="S168" s="228"/>
      <c r="T168" s="228"/>
      <c r="U168" s="228"/>
      <c r="V168" s="228"/>
      <c r="W168" s="228"/>
      <c r="X168" s="228"/>
      <c r="Y168" s="228"/>
      <c r="Z168" s="235"/>
    </row>
    <row r="169" spans="1:26" x14ac:dyDescent="0.3">
      <c r="A169" s="231"/>
      <c r="B169" s="228"/>
      <c r="C169" s="228"/>
      <c r="D169" s="228"/>
      <c r="E169" s="228"/>
      <c r="F169" s="228"/>
      <c r="G169" s="228"/>
      <c r="H169" s="228"/>
      <c r="I169" s="228"/>
      <c r="J169" s="228"/>
      <c r="K169" s="228"/>
      <c r="L169" s="228"/>
      <c r="M169" s="228"/>
      <c r="N169" s="209" t="s">
        <v>266</v>
      </c>
      <c r="O169" s="208">
        <v>297.84531671771521</v>
      </c>
      <c r="P169" s="127">
        <v>273</v>
      </c>
      <c r="Q169" s="127">
        <v>277.2</v>
      </c>
      <c r="R169" s="127">
        <v>250.9</v>
      </c>
      <c r="S169" s="228"/>
      <c r="T169" s="228"/>
      <c r="U169" s="228"/>
      <c r="V169" s="228"/>
      <c r="W169" s="228"/>
      <c r="X169" s="228"/>
      <c r="Y169" s="228"/>
      <c r="Z169" s="235"/>
    </row>
    <row r="170" spans="1:26" ht="29.4" customHeight="1" x14ac:dyDescent="0.3">
      <c r="A170" s="229" t="s">
        <v>192</v>
      </c>
      <c r="B170" s="343" t="s">
        <v>269</v>
      </c>
      <c r="C170" s="343"/>
      <c r="D170" s="343"/>
      <c r="E170" s="343"/>
      <c r="F170" s="343"/>
      <c r="G170" s="343"/>
      <c r="H170" s="343"/>
      <c r="I170" s="343"/>
      <c r="J170" s="343"/>
      <c r="K170" s="343"/>
      <c r="L170" s="343"/>
      <c r="M170" s="228"/>
      <c r="N170" s="279" t="s">
        <v>194</v>
      </c>
      <c r="O170" s="207">
        <f>O169-O168</f>
        <v>4.7232218462386868</v>
      </c>
      <c r="P170" s="207">
        <f>P169-P168</f>
        <v>3.3000000000000114</v>
      </c>
      <c r="Q170" s="207">
        <f t="shared" ref="Q170:R170" si="17">Q169-Q168</f>
        <v>2.3999999999999773</v>
      </c>
      <c r="R170" s="207">
        <f t="shared" si="17"/>
        <v>3.3000000000000114</v>
      </c>
      <c r="S170" s="228"/>
      <c r="T170" s="228"/>
      <c r="U170" s="228"/>
      <c r="V170" s="228"/>
      <c r="W170" s="228"/>
      <c r="X170" s="228"/>
      <c r="Y170" s="228"/>
      <c r="Z170" s="235"/>
    </row>
    <row r="171" spans="1:26" ht="31.2" customHeight="1" x14ac:dyDescent="0.3">
      <c r="A171" s="230" t="s">
        <v>193</v>
      </c>
      <c r="B171" s="343"/>
      <c r="C171" s="343"/>
      <c r="D171" s="343"/>
      <c r="E171" s="343"/>
      <c r="F171" s="343"/>
      <c r="G171" s="343"/>
      <c r="H171" s="343"/>
      <c r="I171" s="343"/>
      <c r="J171" s="343"/>
      <c r="K171" s="343"/>
      <c r="L171" s="343"/>
      <c r="M171" s="228"/>
      <c r="N171" s="278" t="s">
        <v>251</v>
      </c>
      <c r="O171" s="274">
        <f>(O169-O168)/O168</f>
        <v>1.6113496487904295E-2</v>
      </c>
      <c r="P171" s="274">
        <f t="shared" ref="P171:R171" si="18">(P169-P168)/P168</f>
        <v>1.2235817575083468E-2</v>
      </c>
      <c r="Q171" s="274">
        <f t="shared" si="18"/>
        <v>8.7336244541483879E-3</v>
      </c>
      <c r="R171" s="274">
        <f t="shared" si="18"/>
        <v>1.3327948303715717E-2</v>
      </c>
      <c r="S171" s="228"/>
      <c r="T171" s="228"/>
      <c r="U171" s="228"/>
      <c r="V171" s="228"/>
      <c r="W171" s="228"/>
      <c r="X171" s="228"/>
      <c r="Y171" s="228"/>
      <c r="Z171" s="235"/>
    </row>
    <row r="172" spans="1:26" ht="12" customHeight="1" x14ac:dyDescent="0.3">
      <c r="A172" s="5"/>
      <c r="B172" s="343"/>
      <c r="C172" s="343"/>
      <c r="D172" s="343"/>
      <c r="E172" s="343"/>
      <c r="F172" s="343"/>
      <c r="G172" s="343"/>
      <c r="H172" s="343"/>
      <c r="I172" s="343"/>
      <c r="J172" s="343"/>
      <c r="K172" s="343"/>
      <c r="L172" s="343"/>
      <c r="M172" s="228"/>
      <c r="N172" s="228"/>
      <c r="O172" s="209" t="s">
        <v>118</v>
      </c>
      <c r="P172" s="209" t="s">
        <v>140</v>
      </c>
      <c r="Q172" s="209" t="s">
        <v>141</v>
      </c>
      <c r="R172" s="209" t="s">
        <v>142</v>
      </c>
      <c r="S172" s="228"/>
      <c r="T172" s="228"/>
      <c r="U172" s="228"/>
      <c r="V172" s="228"/>
      <c r="W172" s="228"/>
      <c r="X172" s="228"/>
      <c r="Y172" s="228"/>
      <c r="Z172" s="235"/>
    </row>
    <row r="173" spans="1:26" ht="43.2" customHeight="1" x14ac:dyDescent="0.3">
      <c r="A173" s="231"/>
      <c r="B173" s="343"/>
      <c r="C173" s="343"/>
      <c r="D173" s="343"/>
      <c r="E173" s="343"/>
      <c r="F173" s="343"/>
      <c r="G173" s="343"/>
      <c r="H173" s="343"/>
      <c r="I173" s="343"/>
      <c r="J173" s="343"/>
      <c r="K173" s="343"/>
      <c r="L173" s="343"/>
      <c r="M173" s="228"/>
      <c r="N173" s="209" t="s">
        <v>267</v>
      </c>
      <c r="O173" s="207">
        <v>4023.0400641921001</v>
      </c>
      <c r="P173" s="127">
        <v>4049</v>
      </c>
      <c r="Q173" s="127">
        <v>4007</v>
      </c>
      <c r="R173" s="127">
        <v>4101</v>
      </c>
      <c r="S173" s="228"/>
      <c r="T173" s="228"/>
      <c r="U173" s="228"/>
      <c r="V173" s="228"/>
      <c r="W173" s="228"/>
      <c r="X173" s="228"/>
      <c r="Y173" s="228"/>
      <c r="Z173" s="235"/>
    </row>
    <row r="174" spans="1:26" x14ac:dyDescent="0.3">
      <c r="A174" s="231"/>
      <c r="B174" s="228"/>
      <c r="C174" s="228"/>
      <c r="D174" s="228"/>
      <c r="E174" s="228"/>
      <c r="F174" s="228"/>
      <c r="G174" s="228"/>
      <c r="H174" s="228"/>
      <c r="I174" s="228"/>
      <c r="J174" s="228"/>
      <c r="K174" s="228"/>
      <c r="L174" s="228"/>
      <c r="M174" s="228"/>
      <c r="N174" s="209" t="s">
        <v>268</v>
      </c>
      <c r="O174" s="207">
        <v>4450.5929078542003</v>
      </c>
      <c r="P174" s="127">
        <v>4464</v>
      </c>
      <c r="Q174" s="127">
        <v>4405</v>
      </c>
      <c r="R174" s="127">
        <v>4485</v>
      </c>
      <c r="S174" s="228"/>
      <c r="T174" s="228"/>
      <c r="U174" s="228"/>
      <c r="V174" s="228"/>
      <c r="W174" s="228"/>
      <c r="X174" s="228"/>
      <c r="Y174" s="228"/>
      <c r="Z174" s="235"/>
    </row>
    <row r="175" spans="1:26" x14ac:dyDescent="0.3">
      <c r="A175" s="231"/>
      <c r="B175" s="228"/>
      <c r="C175" s="228"/>
      <c r="D175" s="228"/>
      <c r="E175" s="228"/>
      <c r="F175" s="228"/>
      <c r="G175" s="228"/>
      <c r="H175" s="228"/>
      <c r="I175" s="228"/>
      <c r="J175" s="228"/>
      <c r="K175" s="228"/>
      <c r="L175" s="228"/>
      <c r="M175" s="228"/>
      <c r="N175" s="277" t="s">
        <v>200</v>
      </c>
      <c r="O175" s="207">
        <f>O174-O173</f>
        <v>427.55284366210026</v>
      </c>
      <c r="P175" s="207">
        <f>P174-P173</f>
        <v>415</v>
      </c>
      <c r="Q175" s="207">
        <f>Q174-Q173</f>
        <v>398</v>
      </c>
      <c r="R175" s="207">
        <f>R174-R173</f>
        <v>384</v>
      </c>
      <c r="S175" s="228"/>
      <c r="T175" s="228"/>
      <c r="U175" s="228"/>
      <c r="V175" s="228"/>
      <c r="W175" s="228"/>
      <c r="X175" s="228"/>
      <c r="Y175" s="228"/>
      <c r="Z175" s="235"/>
    </row>
    <row r="176" spans="1:26" x14ac:dyDescent="0.3">
      <c r="A176" s="231"/>
      <c r="B176" s="347" t="s">
        <v>271</v>
      </c>
      <c r="C176" s="347"/>
      <c r="D176" s="347"/>
      <c r="E176" s="347"/>
      <c r="F176" s="347"/>
      <c r="G176" s="347"/>
      <c r="H176" s="347"/>
      <c r="I176" s="347"/>
      <c r="J176" s="347"/>
      <c r="K176" s="347"/>
      <c r="L176" s="347"/>
      <c r="M176" s="228"/>
      <c r="N176" s="278" t="s">
        <v>254</v>
      </c>
      <c r="O176" s="274">
        <f>(O174-O173)/O173</f>
        <v>0.10627605910953329</v>
      </c>
      <c r="P176" s="274">
        <f>(P174-P173)/P173</f>
        <v>0.10249444307236355</v>
      </c>
      <c r="Q176" s="274">
        <f>(Q174-Q173)/Q173</f>
        <v>9.9326179186423752E-2</v>
      </c>
      <c r="R176" s="274">
        <f>(R174-R173)/R173</f>
        <v>9.3635698610095103E-2</v>
      </c>
      <c r="S176" s="228"/>
      <c r="T176" s="228"/>
      <c r="U176" s="228"/>
      <c r="V176" s="228"/>
      <c r="W176" s="228"/>
      <c r="X176" s="228"/>
      <c r="Y176" s="228"/>
      <c r="Z176" s="235"/>
    </row>
    <row r="177" spans="1:26" ht="29.4" customHeight="1" x14ac:dyDescent="0.3">
      <c r="A177" s="231"/>
      <c r="B177" s="347"/>
      <c r="C177" s="347"/>
      <c r="D177" s="347"/>
      <c r="E177" s="347"/>
      <c r="F177" s="347"/>
      <c r="G177" s="347"/>
      <c r="H177" s="347"/>
      <c r="I177" s="347"/>
      <c r="J177" s="347"/>
      <c r="K177" s="347"/>
      <c r="L177" s="347"/>
      <c r="M177" s="228"/>
      <c r="N177" s="278" t="s">
        <v>262</v>
      </c>
      <c r="O177" s="207">
        <f>O175/O170</f>
        <v>90.521440148440149</v>
      </c>
      <c r="P177" s="207">
        <f>P175/P170</f>
        <v>125.75757575757532</v>
      </c>
      <c r="Q177" s="207">
        <f>Q175/Q170</f>
        <v>165.83333333333491</v>
      </c>
      <c r="R177" s="207">
        <f>R175/R170</f>
        <v>116.36363636363596</v>
      </c>
      <c r="S177" s="228"/>
      <c r="T177" s="228"/>
      <c r="U177" s="228"/>
      <c r="V177" s="228"/>
      <c r="W177" s="228"/>
      <c r="X177" s="228"/>
      <c r="Y177" s="228"/>
      <c r="Z177" s="235"/>
    </row>
    <row r="178" spans="1:26" ht="15" thickBot="1" x14ac:dyDescent="0.35">
      <c r="A178" s="232"/>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6"/>
    </row>
    <row r="179" spans="1:26" x14ac:dyDescent="0.3">
      <c r="A179" s="3"/>
      <c r="B179" s="226"/>
      <c r="C179" s="226"/>
      <c r="D179" s="226"/>
      <c r="E179" s="226"/>
      <c r="F179" s="226"/>
      <c r="G179" s="226"/>
      <c r="H179" s="226"/>
      <c r="I179" s="226"/>
      <c r="J179" s="226"/>
      <c r="K179" s="226"/>
      <c r="L179" s="226"/>
      <c r="M179" s="234"/>
    </row>
    <row r="180" spans="1:26" x14ac:dyDescent="0.3">
      <c r="A180" s="227" t="s">
        <v>247</v>
      </c>
      <c r="B180" s="228"/>
      <c r="C180" s="228"/>
      <c r="D180" s="228"/>
      <c r="E180" s="228"/>
      <c r="F180" s="228"/>
      <c r="G180" s="228"/>
      <c r="H180" s="228"/>
      <c r="I180" s="228"/>
      <c r="J180" s="228"/>
      <c r="K180" s="228"/>
      <c r="L180" s="228"/>
      <c r="M180" s="235"/>
    </row>
    <row r="181" spans="1:26" x14ac:dyDescent="0.3">
      <c r="A181" s="227" t="s">
        <v>209</v>
      </c>
      <c r="B181" s="228"/>
      <c r="C181" s="228"/>
      <c r="D181" s="228"/>
      <c r="E181" s="228"/>
      <c r="F181" s="228"/>
      <c r="G181" s="228"/>
      <c r="H181" s="228"/>
      <c r="I181" s="228"/>
      <c r="J181" s="228"/>
      <c r="K181" s="228"/>
      <c r="L181" s="228"/>
      <c r="M181" s="235"/>
      <c r="P181" s="49"/>
      <c r="Q181" s="196"/>
    </row>
    <row r="182" spans="1:26" x14ac:dyDescent="0.3">
      <c r="A182" s="5"/>
      <c r="B182" s="228"/>
      <c r="C182" s="228"/>
      <c r="D182" s="228"/>
      <c r="E182" s="228"/>
      <c r="F182" s="228"/>
      <c r="G182" s="228"/>
      <c r="H182" s="228"/>
      <c r="I182" s="228"/>
      <c r="J182" s="228"/>
      <c r="K182" s="228"/>
      <c r="L182" s="228"/>
      <c r="M182" s="235"/>
      <c r="P182" s="49"/>
      <c r="Q182" s="196"/>
    </row>
    <row r="183" spans="1:26" x14ac:dyDescent="0.3">
      <c r="A183" s="229" t="s">
        <v>192</v>
      </c>
      <c r="B183" s="343" t="s">
        <v>270</v>
      </c>
      <c r="C183" s="343"/>
      <c r="D183" s="343"/>
      <c r="E183" s="343"/>
      <c r="F183" s="343"/>
      <c r="G183" s="343"/>
      <c r="H183" s="343"/>
      <c r="I183" s="343"/>
      <c r="J183" s="343"/>
      <c r="K183" s="343"/>
      <c r="L183" s="343"/>
      <c r="M183" s="235"/>
      <c r="P183" s="45"/>
      <c r="Q183" s="45"/>
    </row>
    <row r="184" spans="1:26" x14ac:dyDescent="0.3">
      <c r="A184" s="230"/>
      <c r="B184" s="343"/>
      <c r="C184" s="343"/>
      <c r="D184" s="343"/>
      <c r="E184" s="343"/>
      <c r="F184" s="343"/>
      <c r="G184" s="343"/>
      <c r="H184" s="343"/>
      <c r="I184" s="343"/>
      <c r="J184" s="343"/>
      <c r="K184" s="343"/>
      <c r="L184" s="343"/>
      <c r="M184" s="235"/>
      <c r="P184" s="45"/>
      <c r="Q184" s="45"/>
    </row>
    <row r="185" spans="1:26" ht="42.6" customHeight="1" x14ac:dyDescent="0.3">
      <c r="A185" s="231"/>
      <c r="B185" s="343"/>
      <c r="C185" s="343"/>
      <c r="D185" s="343"/>
      <c r="E185" s="343"/>
      <c r="F185" s="343"/>
      <c r="G185" s="343"/>
      <c r="H185" s="343"/>
      <c r="I185" s="343"/>
      <c r="J185" s="343"/>
      <c r="K185" s="343"/>
      <c r="L185" s="343"/>
      <c r="M185" s="235"/>
      <c r="P185" s="45"/>
      <c r="Q185" s="45"/>
    </row>
    <row r="186" spans="1:26" ht="58.2" customHeight="1" x14ac:dyDescent="0.3">
      <c r="A186" s="231"/>
      <c r="B186" s="343"/>
      <c r="C186" s="343"/>
      <c r="D186" s="343"/>
      <c r="E186" s="343"/>
      <c r="F186" s="343"/>
      <c r="G186" s="343"/>
      <c r="H186" s="343"/>
      <c r="I186" s="343"/>
      <c r="J186" s="343"/>
      <c r="K186" s="343"/>
      <c r="L186" s="343"/>
      <c r="M186" s="235"/>
      <c r="P186" s="45"/>
      <c r="Q186" s="45"/>
    </row>
    <row r="187" spans="1:26" x14ac:dyDescent="0.3">
      <c r="A187" s="231"/>
      <c r="B187" s="228"/>
      <c r="C187" s="228"/>
      <c r="D187" s="228"/>
      <c r="E187" s="228"/>
      <c r="F187" s="228"/>
      <c r="G187" s="228"/>
      <c r="H187" s="228"/>
      <c r="I187" s="228"/>
      <c r="J187" s="228"/>
      <c r="K187" s="228"/>
      <c r="L187" s="228"/>
      <c r="M187" s="235"/>
      <c r="P187" s="45"/>
      <c r="Q187" s="45"/>
    </row>
    <row r="188" spans="1:26" x14ac:dyDescent="0.3">
      <c r="A188" s="231"/>
      <c r="B188" s="228"/>
      <c r="C188" s="228"/>
      <c r="D188" s="228"/>
      <c r="E188" s="228"/>
      <c r="F188" s="228"/>
      <c r="G188" s="228"/>
      <c r="H188" s="228"/>
      <c r="I188" s="228"/>
      <c r="J188" s="228"/>
      <c r="K188" s="228"/>
      <c r="L188" s="228"/>
      <c r="M188" s="235"/>
      <c r="P188" s="45"/>
      <c r="Q188" s="45"/>
    </row>
    <row r="189" spans="1:26" x14ac:dyDescent="0.3">
      <c r="A189" s="231"/>
      <c r="B189" s="228" t="s">
        <v>272</v>
      </c>
      <c r="C189" s="228"/>
      <c r="D189" s="228"/>
      <c r="E189" s="228"/>
      <c r="F189" s="228"/>
      <c r="G189" s="228"/>
      <c r="H189" s="228"/>
      <c r="I189" s="228"/>
      <c r="J189" s="228"/>
      <c r="K189" s="228"/>
      <c r="L189" s="228"/>
      <c r="M189" s="235"/>
      <c r="P189" s="45"/>
      <c r="Q189" s="45"/>
    </row>
    <row r="190" spans="1:26" x14ac:dyDescent="0.3">
      <c r="A190" s="231"/>
      <c r="B190" s="228"/>
      <c r="C190" s="228"/>
      <c r="D190" s="228"/>
      <c r="E190" s="228"/>
      <c r="F190" s="228"/>
      <c r="G190" s="228"/>
      <c r="H190" s="228"/>
      <c r="I190" s="228"/>
      <c r="J190" s="228"/>
      <c r="K190" s="228"/>
      <c r="L190" s="228"/>
      <c r="M190" s="235"/>
      <c r="P190" s="45"/>
      <c r="Q190" s="45"/>
    </row>
    <row r="191" spans="1:26" ht="15" thickBot="1" x14ac:dyDescent="0.35">
      <c r="A191" s="232"/>
      <c r="B191" s="233"/>
      <c r="C191" s="233"/>
      <c r="D191" s="233"/>
      <c r="E191" s="233"/>
      <c r="F191" s="233"/>
      <c r="G191" s="233"/>
      <c r="H191" s="233"/>
      <c r="I191" s="233"/>
      <c r="J191" s="233"/>
      <c r="K191" s="233"/>
      <c r="L191" s="233"/>
      <c r="M191" s="236"/>
    </row>
    <row r="192" spans="1:26" ht="15" thickBot="1" x14ac:dyDescent="0.35"/>
    <row r="193" spans="1:39" ht="72" x14ac:dyDescent="0.3">
      <c r="A193" s="296" t="s">
        <v>280</v>
      </c>
      <c r="B193" s="4"/>
      <c r="C193" s="4"/>
      <c r="D193" s="4"/>
      <c r="E193" s="4"/>
      <c r="F193" s="4"/>
      <c r="G193" s="4"/>
      <c r="H193" s="4"/>
      <c r="I193" s="4"/>
      <c r="J193" s="4"/>
      <c r="K193" s="4"/>
      <c r="L193" s="4"/>
      <c r="M193" s="4"/>
      <c r="N193" s="205" t="s">
        <v>116</v>
      </c>
      <c r="O193" s="205" t="s">
        <v>117</v>
      </c>
      <c r="P193" s="205" t="s">
        <v>164</v>
      </c>
      <c r="Q193" s="205" t="s">
        <v>21</v>
      </c>
      <c r="R193" s="205" t="s">
        <v>165</v>
      </c>
      <c r="S193" s="205" t="s">
        <v>166</v>
      </c>
      <c r="T193" s="205" t="s">
        <v>167</v>
      </c>
      <c r="U193" s="205" t="s">
        <v>168</v>
      </c>
      <c r="V193" s="205" t="s">
        <v>169</v>
      </c>
      <c r="W193" s="205" t="s">
        <v>173</v>
      </c>
      <c r="X193" s="205" t="s">
        <v>170</v>
      </c>
      <c r="Y193" s="205" t="s">
        <v>276</v>
      </c>
      <c r="Z193" s="205" t="s">
        <v>277</v>
      </c>
      <c r="AA193" s="205" t="s">
        <v>278</v>
      </c>
      <c r="AB193" s="4"/>
      <c r="AC193" s="4"/>
      <c r="AD193" s="4"/>
      <c r="AE193" s="4"/>
      <c r="AF193" s="4"/>
      <c r="AG193" s="4"/>
      <c r="AH193" s="4"/>
      <c r="AI193" s="4"/>
      <c r="AJ193" s="4"/>
      <c r="AK193" s="4"/>
      <c r="AL193" s="4"/>
      <c r="AM193" s="60"/>
    </row>
    <row r="194" spans="1:39" x14ac:dyDescent="0.3">
      <c r="A194" s="222" t="s">
        <v>195</v>
      </c>
      <c r="B194" s="6"/>
      <c r="C194" s="6"/>
      <c r="D194" s="6"/>
      <c r="E194" s="6"/>
      <c r="F194" s="6"/>
      <c r="G194" s="6"/>
      <c r="H194" s="6"/>
      <c r="I194" s="6"/>
      <c r="J194" s="6"/>
      <c r="K194" s="6"/>
      <c r="L194" s="6"/>
      <c r="M194" s="6"/>
      <c r="N194" s="127" t="s">
        <v>118</v>
      </c>
      <c r="O194" s="127" t="s">
        <v>134</v>
      </c>
      <c r="P194" s="207">
        <v>3013.7951376178999</v>
      </c>
      <c r="Q194" s="208">
        <v>256.05537093211268</v>
      </c>
      <c r="R194" s="290"/>
      <c r="S194" s="127"/>
      <c r="T194" s="127"/>
      <c r="U194" s="127"/>
      <c r="V194" s="127"/>
      <c r="W194" s="127"/>
      <c r="X194" s="127" t="s">
        <v>143</v>
      </c>
      <c r="Y194" s="127">
        <v>6.2</v>
      </c>
      <c r="Z194" s="208">
        <v>31.671557587752201</v>
      </c>
      <c r="AA194" s="208">
        <f>$Z$194-Y194</f>
        <v>25.471557587752201</v>
      </c>
      <c r="AB194" s="6"/>
      <c r="AC194" s="6"/>
      <c r="AD194" s="6"/>
      <c r="AE194" s="6"/>
      <c r="AF194" s="6"/>
      <c r="AG194" s="6"/>
      <c r="AH194" s="6"/>
      <c r="AI194" s="6"/>
      <c r="AJ194" s="6"/>
      <c r="AK194" s="6"/>
      <c r="AL194" s="6"/>
      <c r="AM194" s="41"/>
    </row>
    <row r="195" spans="1:39" ht="17.399999999999999" customHeight="1" x14ac:dyDescent="0.3">
      <c r="A195" s="5"/>
      <c r="B195" s="6"/>
      <c r="C195" s="6"/>
      <c r="D195" s="6"/>
      <c r="E195" s="6"/>
      <c r="F195" s="6"/>
      <c r="G195" s="6"/>
      <c r="H195" s="6"/>
      <c r="I195" s="6"/>
      <c r="J195" s="6"/>
      <c r="K195" s="6"/>
      <c r="L195" s="6"/>
      <c r="M195" s="6"/>
      <c r="N195" s="127" t="s">
        <v>118</v>
      </c>
      <c r="O195" s="127" t="s">
        <v>127</v>
      </c>
      <c r="P195" s="207">
        <v>3228.3051976117999</v>
      </c>
      <c r="Q195" s="208">
        <v>277.72917369409339</v>
      </c>
      <c r="R195" s="290"/>
      <c r="S195" s="219">
        <f>(P195-P194)/(Q195-Q194)</f>
        <v>9.897204581476803</v>
      </c>
      <c r="T195" s="219">
        <f>1/S195</f>
        <v>0.10103863083436292</v>
      </c>
      <c r="U195" s="127"/>
      <c r="V195" s="127"/>
      <c r="W195" s="127"/>
      <c r="X195" s="127" t="s">
        <v>143</v>
      </c>
      <c r="Y195" s="127">
        <v>6.1</v>
      </c>
      <c r="Z195" s="206"/>
      <c r="AA195" s="208">
        <f t="shared" ref="AA195:AA207" si="19">$Z$194-Y195</f>
        <v>25.571557587752203</v>
      </c>
      <c r="AB195" s="6"/>
      <c r="AC195" s="6"/>
      <c r="AD195" s="6"/>
      <c r="AE195" s="6"/>
      <c r="AF195" s="6"/>
      <c r="AG195" s="6"/>
      <c r="AH195" s="6"/>
      <c r="AI195" s="6"/>
      <c r="AJ195" s="6"/>
      <c r="AK195" s="6"/>
      <c r="AL195" s="6"/>
      <c r="AM195" s="41"/>
    </row>
    <row r="196" spans="1:39" ht="97.2" customHeight="1" x14ac:dyDescent="0.3">
      <c r="A196" s="229" t="s">
        <v>192</v>
      </c>
      <c r="B196" s="343" t="s">
        <v>279</v>
      </c>
      <c r="C196" s="343"/>
      <c r="D196" s="343"/>
      <c r="E196" s="343"/>
      <c r="F196" s="343"/>
      <c r="G196" s="343"/>
      <c r="H196" s="343"/>
      <c r="I196" s="343"/>
      <c r="J196" s="343"/>
      <c r="K196" s="343"/>
      <c r="L196" s="343"/>
      <c r="M196" s="6"/>
      <c r="N196" s="127" t="s">
        <v>118</v>
      </c>
      <c r="O196" s="127" t="s">
        <v>138</v>
      </c>
      <c r="P196" s="207">
        <v>3331.2518483131998</v>
      </c>
      <c r="Q196" s="208">
        <v>258.82320817405918</v>
      </c>
      <c r="R196" s="290" t="s">
        <v>171</v>
      </c>
      <c r="S196" s="219"/>
      <c r="T196" s="219"/>
      <c r="U196" s="127"/>
      <c r="V196" s="127"/>
      <c r="W196" s="127"/>
      <c r="X196" s="127" t="s">
        <v>144</v>
      </c>
      <c r="Y196" s="127">
        <v>5.4</v>
      </c>
      <c r="Z196" s="206"/>
      <c r="AA196" s="208">
        <f t="shared" si="19"/>
        <v>26.271557587752199</v>
      </c>
      <c r="AB196" s="6"/>
      <c r="AC196" s="6"/>
      <c r="AD196" s="6"/>
      <c r="AE196" s="6"/>
      <c r="AF196" s="6"/>
      <c r="AG196" s="6"/>
      <c r="AH196" s="6"/>
      <c r="AI196" s="6"/>
      <c r="AJ196" s="6"/>
      <c r="AK196" s="6"/>
      <c r="AL196" s="6"/>
      <c r="AM196" s="41"/>
    </row>
    <row r="197" spans="1:39" ht="77.400000000000006" customHeight="1" x14ac:dyDescent="0.3">
      <c r="A197" s="230" t="s">
        <v>193</v>
      </c>
      <c r="B197" s="343"/>
      <c r="C197" s="343"/>
      <c r="D197" s="343"/>
      <c r="E197" s="343"/>
      <c r="F197" s="343"/>
      <c r="G197" s="343"/>
      <c r="H197" s="343"/>
      <c r="I197" s="343"/>
      <c r="J197" s="343"/>
      <c r="K197" s="343"/>
      <c r="L197" s="343"/>
      <c r="M197" s="6"/>
      <c r="N197" s="127" t="s">
        <v>118</v>
      </c>
      <c r="O197" s="127" t="s">
        <v>133</v>
      </c>
      <c r="P197" s="207">
        <v>3681.8186988288999</v>
      </c>
      <c r="Q197" s="208">
        <v>267.32993072446408</v>
      </c>
      <c r="R197" s="290" t="s">
        <v>171</v>
      </c>
      <c r="S197" s="219"/>
      <c r="T197" s="219"/>
      <c r="U197" s="127"/>
      <c r="V197" s="127"/>
      <c r="W197" s="127"/>
      <c r="X197" s="127" t="s">
        <v>144</v>
      </c>
      <c r="Y197" s="127">
        <v>4.9000000000000004</v>
      </c>
      <c r="Z197" s="206"/>
      <c r="AA197" s="208">
        <f t="shared" si="19"/>
        <v>26.771557587752199</v>
      </c>
      <c r="AB197" s="6"/>
      <c r="AC197" s="6"/>
      <c r="AD197" s="6"/>
      <c r="AE197" s="6"/>
      <c r="AF197" s="6"/>
      <c r="AG197" s="6"/>
      <c r="AH197" s="6"/>
      <c r="AI197" s="6"/>
      <c r="AJ197" s="6"/>
      <c r="AK197" s="6"/>
      <c r="AL197" s="6"/>
      <c r="AM197" s="41"/>
    </row>
    <row r="198" spans="1:39" x14ac:dyDescent="0.3">
      <c r="A198" s="5"/>
      <c r="B198" s="343"/>
      <c r="C198" s="343"/>
      <c r="D198" s="343"/>
      <c r="E198" s="343"/>
      <c r="F198" s="343"/>
      <c r="G198" s="343"/>
      <c r="H198" s="343"/>
      <c r="I198" s="343"/>
      <c r="J198" s="343"/>
      <c r="K198" s="343"/>
      <c r="L198" s="343"/>
      <c r="M198" s="6"/>
      <c r="N198" s="127" t="s">
        <v>118</v>
      </c>
      <c r="O198" s="127" t="s">
        <v>130</v>
      </c>
      <c r="P198" s="207">
        <v>3706.7368043362999</v>
      </c>
      <c r="Q198" s="208">
        <v>286.65340539718841</v>
      </c>
      <c r="R198" s="290"/>
      <c r="S198" s="291" t="s">
        <v>172</v>
      </c>
      <c r="T198" s="219"/>
      <c r="U198" s="214">
        <f>T200*(P198-P200)+Q200</f>
        <v>286.99573581532997</v>
      </c>
      <c r="V198" s="213">
        <f>Q198/U198</f>
        <v>0.99880719336414869</v>
      </c>
      <c r="W198" s="214">
        <f>(P198-P195)/(Q198-Q195)</f>
        <v>53.610397246697978</v>
      </c>
      <c r="X198" s="127" t="s">
        <v>146</v>
      </c>
      <c r="Y198" s="127">
        <v>4.2</v>
      </c>
      <c r="Z198" s="206"/>
      <c r="AA198" s="208">
        <f t="shared" si="19"/>
        <v>27.471557587752201</v>
      </c>
      <c r="AB198" s="6"/>
      <c r="AC198" s="6"/>
      <c r="AD198" s="6"/>
      <c r="AE198" s="6"/>
      <c r="AF198" s="6"/>
      <c r="AG198" s="6"/>
      <c r="AH198" s="6"/>
      <c r="AI198" s="6"/>
      <c r="AJ198" s="6"/>
      <c r="AK198" s="6"/>
      <c r="AL198" s="6"/>
      <c r="AM198" s="41"/>
    </row>
    <row r="199" spans="1:39" ht="28.8" x14ac:dyDescent="0.3">
      <c r="A199" s="231"/>
      <c r="B199" s="343"/>
      <c r="C199" s="343"/>
      <c r="D199" s="343"/>
      <c r="E199" s="343"/>
      <c r="F199" s="343"/>
      <c r="G199" s="343"/>
      <c r="H199" s="343"/>
      <c r="I199" s="343"/>
      <c r="J199" s="343"/>
      <c r="K199" s="343"/>
      <c r="L199" s="343"/>
      <c r="M199" s="6"/>
      <c r="N199" s="127" t="s">
        <v>118</v>
      </c>
      <c r="O199" s="127" t="s">
        <v>137</v>
      </c>
      <c r="P199" s="207">
        <v>3964.6814490361999</v>
      </c>
      <c r="Q199" s="208">
        <v>268.60118578955911</v>
      </c>
      <c r="R199" s="290" t="s">
        <v>171</v>
      </c>
      <c r="S199" s="219"/>
      <c r="T199" s="219"/>
      <c r="U199" s="127"/>
      <c r="V199" s="127"/>
      <c r="W199" s="127"/>
      <c r="X199" s="127" t="s">
        <v>144</v>
      </c>
      <c r="Y199" s="127">
        <v>4.4000000000000004</v>
      </c>
      <c r="Z199" s="206"/>
      <c r="AA199" s="208">
        <f t="shared" si="19"/>
        <v>27.271557587752199</v>
      </c>
      <c r="AB199" s="6"/>
      <c r="AC199" s="6"/>
      <c r="AD199" s="6"/>
      <c r="AE199" s="6"/>
      <c r="AF199" s="6"/>
      <c r="AG199" s="6"/>
      <c r="AH199" s="6"/>
      <c r="AI199" s="6"/>
      <c r="AJ199" s="6"/>
      <c r="AK199" s="6"/>
      <c r="AL199" s="6"/>
      <c r="AM199" s="41"/>
    </row>
    <row r="200" spans="1:39" x14ac:dyDescent="0.3">
      <c r="A200" s="5"/>
      <c r="B200" s="6"/>
      <c r="C200" s="6"/>
      <c r="D200" s="6"/>
      <c r="E200" s="6"/>
      <c r="F200" s="6"/>
      <c r="G200" s="6"/>
      <c r="H200" s="6"/>
      <c r="I200" s="6"/>
      <c r="J200" s="6"/>
      <c r="K200" s="6"/>
      <c r="L200" s="6"/>
      <c r="M200" s="6"/>
      <c r="N200" s="272" t="s">
        <v>118</v>
      </c>
      <c r="O200" s="272" t="s">
        <v>126</v>
      </c>
      <c r="P200" s="245">
        <v>4023.0400641921001</v>
      </c>
      <c r="Q200" s="292">
        <v>293.12209487147652</v>
      </c>
      <c r="R200" s="293"/>
      <c r="S200" s="294">
        <f>(P200-P195)/(Q200-Q195)</f>
        <v>51.62989256048467</v>
      </c>
      <c r="T200" s="294">
        <f>1/S200</f>
        <v>1.9368624461662303E-2</v>
      </c>
      <c r="U200" s="295"/>
      <c r="V200" s="267"/>
      <c r="W200" s="272"/>
      <c r="X200" s="272" t="s">
        <v>143</v>
      </c>
      <c r="Y200" s="127">
        <v>4.2</v>
      </c>
      <c r="Z200" s="206"/>
      <c r="AA200" s="208">
        <f t="shared" si="19"/>
        <v>27.471557587752201</v>
      </c>
      <c r="AB200" s="6"/>
      <c r="AC200" s="6"/>
      <c r="AD200" s="6"/>
      <c r="AE200" s="6"/>
      <c r="AF200" s="6"/>
      <c r="AG200" s="6"/>
      <c r="AH200" s="6"/>
      <c r="AI200" s="6"/>
      <c r="AJ200" s="6"/>
      <c r="AK200" s="6"/>
      <c r="AL200" s="6"/>
      <c r="AM200" s="41"/>
    </row>
    <row r="201" spans="1:39" x14ac:dyDescent="0.3">
      <c r="A201" s="5"/>
      <c r="B201" s="6"/>
      <c r="C201" s="6"/>
      <c r="D201" s="6"/>
      <c r="E201" s="6"/>
      <c r="F201" s="6"/>
      <c r="G201" s="6"/>
      <c r="H201" s="6"/>
      <c r="I201" s="6"/>
      <c r="J201" s="6"/>
      <c r="K201" s="6"/>
      <c r="L201" s="6"/>
      <c r="M201" s="6"/>
      <c r="N201" s="127" t="s">
        <v>118</v>
      </c>
      <c r="O201" s="127" t="s">
        <v>129</v>
      </c>
      <c r="P201" s="207">
        <v>4450.5929078542003</v>
      </c>
      <c r="Q201" s="208">
        <v>297.84531671771521</v>
      </c>
      <c r="R201" s="290"/>
      <c r="S201" s="219">
        <f>(P201-P200)/(Q201-Q200)</f>
        <v>90.521440148440149</v>
      </c>
      <c r="T201" s="219">
        <f>1/S201</f>
        <v>1.1047106612092846E-2</v>
      </c>
      <c r="U201" s="127"/>
      <c r="V201" s="127"/>
      <c r="W201" s="127"/>
      <c r="X201" s="127" t="s">
        <v>143</v>
      </c>
      <c r="Y201" s="127">
        <v>3.2</v>
      </c>
      <c r="Z201" s="206"/>
      <c r="AA201" s="208">
        <f t="shared" si="19"/>
        <v>28.471557587752201</v>
      </c>
      <c r="AB201" s="6"/>
      <c r="AC201" s="6"/>
      <c r="AD201" s="6"/>
      <c r="AE201" s="6"/>
      <c r="AF201" s="6"/>
      <c r="AG201" s="6"/>
      <c r="AH201" s="6"/>
      <c r="AI201" s="6"/>
      <c r="AJ201" s="6"/>
      <c r="AK201" s="6"/>
      <c r="AL201" s="6"/>
      <c r="AM201" s="41"/>
    </row>
    <row r="202" spans="1:39" ht="28.8" x14ac:dyDescent="0.3">
      <c r="A202" s="5"/>
      <c r="B202" s="6"/>
      <c r="C202" s="6"/>
      <c r="D202" s="6"/>
      <c r="E202" s="6"/>
      <c r="F202" s="6"/>
      <c r="G202" s="6"/>
      <c r="H202" s="6"/>
      <c r="I202" s="6"/>
      <c r="J202" s="6"/>
      <c r="K202" s="6"/>
      <c r="L202" s="6"/>
      <c r="M202" s="6"/>
      <c r="N202" s="127" t="s">
        <v>118</v>
      </c>
      <c r="O202" s="127" t="s">
        <v>132</v>
      </c>
      <c r="P202" s="207">
        <v>5003.9060157294998</v>
      </c>
      <c r="Q202" s="208">
        <v>273.89182729422703</v>
      </c>
      <c r="R202" s="290" t="s">
        <v>171</v>
      </c>
      <c r="S202" s="219"/>
      <c r="T202" s="219"/>
      <c r="U202" s="127"/>
      <c r="V202" s="127"/>
      <c r="W202" s="127"/>
      <c r="X202" s="127" t="s">
        <v>144</v>
      </c>
      <c r="Y202" s="127">
        <v>4.2</v>
      </c>
      <c r="Z202" s="206"/>
      <c r="AA202" s="208">
        <f t="shared" si="19"/>
        <v>27.471557587752201</v>
      </c>
      <c r="AB202" s="6"/>
      <c r="AC202" s="6"/>
      <c r="AD202" s="6"/>
      <c r="AE202" s="6"/>
      <c r="AF202" s="6"/>
      <c r="AG202" s="6"/>
      <c r="AH202" s="6"/>
      <c r="AI202" s="6"/>
      <c r="AJ202" s="6"/>
      <c r="AK202" s="6"/>
      <c r="AL202" s="6"/>
      <c r="AM202" s="41"/>
    </row>
    <row r="203" spans="1:39" ht="28.8" x14ac:dyDescent="0.3">
      <c r="A203" s="5"/>
      <c r="B203" s="6"/>
      <c r="C203" s="6"/>
      <c r="D203" s="6"/>
      <c r="E203" s="6"/>
      <c r="F203" s="6"/>
      <c r="G203" s="6"/>
      <c r="H203" s="6"/>
      <c r="I203" s="6"/>
      <c r="J203" s="6"/>
      <c r="K203" s="6"/>
      <c r="L203" s="6"/>
      <c r="M203" s="6"/>
      <c r="N203" s="127" t="s">
        <v>118</v>
      </c>
      <c r="O203" s="127" t="s">
        <v>135</v>
      </c>
      <c r="P203" s="207">
        <v>5377.5421415410001</v>
      </c>
      <c r="Q203" s="208">
        <v>275.30732269542762</v>
      </c>
      <c r="R203" s="290" t="s">
        <v>171</v>
      </c>
      <c r="S203" s="219"/>
      <c r="T203" s="219"/>
      <c r="U203" s="127"/>
      <c r="V203" s="127"/>
      <c r="W203" s="127"/>
      <c r="X203" s="127" t="s">
        <v>144</v>
      </c>
      <c r="Y203" s="127">
        <v>3.9</v>
      </c>
      <c r="Z203" s="206"/>
      <c r="AA203" s="208">
        <f t="shared" si="19"/>
        <v>27.771557587752202</v>
      </c>
      <c r="AB203" s="6"/>
      <c r="AC203" s="6"/>
      <c r="AD203" s="6"/>
      <c r="AE203" s="6"/>
      <c r="AF203" s="6"/>
      <c r="AG203" s="6"/>
      <c r="AH203" s="6"/>
      <c r="AI203" s="6"/>
      <c r="AJ203" s="6"/>
      <c r="AK203" s="6"/>
      <c r="AL203" s="6"/>
      <c r="AM203" s="41"/>
    </row>
    <row r="204" spans="1:39" ht="28.8" x14ac:dyDescent="0.3">
      <c r="A204" s="5"/>
      <c r="B204" s="6"/>
      <c r="C204" s="6"/>
      <c r="D204" s="6"/>
      <c r="E204" s="6"/>
      <c r="F204" s="6"/>
      <c r="G204" s="6"/>
      <c r="H204" s="6"/>
      <c r="I204" s="6"/>
      <c r="J204" s="6"/>
      <c r="K204" s="6"/>
      <c r="L204" s="6"/>
      <c r="M204" s="6"/>
      <c r="N204" s="127" t="s">
        <v>118</v>
      </c>
      <c r="O204" s="127" t="s">
        <v>136</v>
      </c>
      <c r="P204" s="207">
        <v>5626.3592210923998</v>
      </c>
      <c r="Q204" s="208">
        <v>275.6457822481957</v>
      </c>
      <c r="R204" s="290" t="s">
        <v>171</v>
      </c>
      <c r="S204" s="219"/>
      <c r="T204" s="219"/>
      <c r="U204" s="127"/>
      <c r="V204" s="127"/>
      <c r="W204" s="127"/>
      <c r="X204" s="127" t="s">
        <v>144</v>
      </c>
      <c r="Y204" s="127">
        <v>3.7</v>
      </c>
      <c r="Z204" s="206"/>
      <c r="AA204" s="208">
        <f t="shared" si="19"/>
        <v>27.971557587752201</v>
      </c>
      <c r="AB204" s="6"/>
      <c r="AC204" s="6"/>
      <c r="AD204" s="6"/>
      <c r="AE204" s="6"/>
      <c r="AF204" s="6"/>
      <c r="AG204" s="6"/>
      <c r="AH204" s="6"/>
      <c r="AI204" s="6"/>
      <c r="AJ204" s="6"/>
      <c r="AK204" s="6"/>
      <c r="AL204" s="6"/>
      <c r="AM204" s="41"/>
    </row>
    <row r="205" spans="1:39" x14ac:dyDescent="0.3">
      <c r="A205" s="5"/>
      <c r="B205" s="6"/>
      <c r="C205" s="6"/>
      <c r="D205" s="6"/>
      <c r="E205" s="6"/>
      <c r="F205" s="6"/>
      <c r="G205" s="6"/>
      <c r="H205" s="6"/>
      <c r="I205" s="6"/>
      <c r="J205" s="6"/>
      <c r="K205" s="6"/>
      <c r="L205" s="6"/>
      <c r="M205" s="6"/>
      <c r="N205" s="127" t="s">
        <v>118</v>
      </c>
      <c r="O205" s="127" t="s">
        <v>125</v>
      </c>
      <c r="P205" s="207">
        <v>6014.7839205541004</v>
      </c>
      <c r="Q205" s="208">
        <v>304.73458819641849</v>
      </c>
      <c r="R205" s="290"/>
      <c r="S205" s="291" t="s">
        <v>172</v>
      </c>
      <c r="T205" s="219"/>
      <c r="U205" s="214">
        <f>T206*(P205-P206)+Q206</f>
        <v>304.93898862255674</v>
      </c>
      <c r="V205" s="213">
        <f>Q205/U205</f>
        <v>0.99932970058351167</v>
      </c>
      <c r="W205" s="214">
        <f>(P205-P201)/(Q205-Q201)</f>
        <v>227.04737613189795</v>
      </c>
      <c r="X205" s="127" t="s">
        <v>146</v>
      </c>
      <c r="Y205" s="127">
        <v>2.8</v>
      </c>
      <c r="Z205" s="206"/>
      <c r="AA205" s="208">
        <f t="shared" si="19"/>
        <v>28.8715575877522</v>
      </c>
      <c r="AB205" s="6"/>
      <c r="AC205" s="6"/>
      <c r="AD205" s="6"/>
      <c r="AE205" s="6"/>
      <c r="AF205" s="6"/>
      <c r="AG205" s="6"/>
      <c r="AH205" s="6"/>
      <c r="AI205" s="6"/>
      <c r="AJ205" s="6"/>
      <c r="AK205" s="6"/>
      <c r="AL205" s="6"/>
      <c r="AM205" s="41"/>
    </row>
    <row r="206" spans="1:39" x14ac:dyDescent="0.3">
      <c r="A206" s="5"/>
      <c r="B206" s="6"/>
      <c r="C206" s="6"/>
      <c r="D206" s="6"/>
      <c r="E206" s="6"/>
      <c r="F206" s="6"/>
      <c r="G206" s="6"/>
      <c r="H206" s="6"/>
      <c r="I206" s="6"/>
      <c r="J206" s="6"/>
      <c r="K206" s="6"/>
      <c r="L206" s="6"/>
      <c r="M206" s="6"/>
      <c r="N206" s="127" t="s">
        <v>118</v>
      </c>
      <c r="O206" s="127" t="s">
        <v>128</v>
      </c>
      <c r="P206" s="207">
        <v>6389.3889243903004</v>
      </c>
      <c r="Q206" s="208">
        <v>306.63783804027531</v>
      </c>
      <c r="R206" s="290"/>
      <c r="S206" s="219">
        <f>(P206-P201)/(Q206-Q201)</f>
        <v>220.50512536847435</v>
      </c>
      <c r="T206" s="219">
        <f>1/S206</f>
        <v>4.5350419784073196E-3</v>
      </c>
      <c r="U206" s="127"/>
      <c r="V206" s="127"/>
      <c r="W206" s="127"/>
      <c r="X206" s="127" t="s">
        <v>143</v>
      </c>
      <c r="Y206" s="127">
        <v>2.5</v>
      </c>
      <c r="Z206" s="206"/>
      <c r="AA206" s="208">
        <f t="shared" si="19"/>
        <v>29.171557587752201</v>
      </c>
      <c r="AB206" s="6"/>
      <c r="AC206" s="6"/>
      <c r="AD206" s="6"/>
      <c r="AE206" s="6"/>
      <c r="AF206" s="6"/>
      <c r="AG206" s="6"/>
      <c r="AH206" s="6"/>
      <c r="AI206" s="6"/>
      <c r="AJ206" s="6"/>
      <c r="AK206" s="6"/>
      <c r="AL206" s="6"/>
      <c r="AM206" s="41"/>
    </row>
    <row r="207" spans="1:39" x14ac:dyDescent="0.3">
      <c r="A207" s="5"/>
      <c r="B207" s="6"/>
      <c r="C207" s="6"/>
      <c r="D207" s="6"/>
      <c r="E207" s="6"/>
      <c r="F207" s="6"/>
      <c r="G207" s="6"/>
      <c r="H207" s="6"/>
      <c r="I207" s="6"/>
      <c r="J207" s="6"/>
      <c r="K207" s="6"/>
      <c r="L207" s="6"/>
      <c r="M207" s="6"/>
      <c r="N207" s="127" t="s">
        <v>118</v>
      </c>
      <c r="O207" s="127" t="s">
        <v>131</v>
      </c>
      <c r="P207" s="207">
        <v>6637.1301047050001</v>
      </c>
      <c r="Q207" s="208">
        <v>306.80388430443008</v>
      </c>
      <c r="R207" s="290"/>
      <c r="S207" s="219">
        <f>(P207-P206)/(Q207-Q206)</f>
        <v>1492.0009286314271</v>
      </c>
      <c r="T207" s="219">
        <f>1/S207</f>
        <v>6.7024086970057957E-4</v>
      </c>
      <c r="U207" s="127"/>
      <c r="V207" s="127"/>
      <c r="W207" s="127"/>
      <c r="X207" s="216" t="s">
        <v>143</v>
      </c>
      <c r="Y207" s="216">
        <v>2.2999999999999998</v>
      </c>
      <c r="Z207" s="206"/>
      <c r="AA207" s="208">
        <f t="shared" si="19"/>
        <v>29.3715575877522</v>
      </c>
      <c r="AB207" s="6"/>
      <c r="AC207" s="6"/>
      <c r="AD207" s="6"/>
      <c r="AE207" s="6"/>
      <c r="AF207" s="6"/>
      <c r="AG207" s="6"/>
      <c r="AH207" s="6"/>
      <c r="AI207" s="6"/>
      <c r="AJ207" s="6"/>
      <c r="AK207" s="6"/>
      <c r="AL207" s="6"/>
      <c r="AM207" s="41"/>
    </row>
    <row r="208" spans="1:39" x14ac:dyDescent="0.3">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41"/>
    </row>
    <row r="209" spans="1:39" x14ac:dyDescent="0.3">
      <c r="A209" s="5"/>
      <c r="B209" s="6"/>
      <c r="C209" s="6"/>
      <c r="D209" s="6"/>
      <c r="E209" s="6"/>
      <c r="F209" s="6"/>
      <c r="G209" s="6"/>
      <c r="H209" s="6"/>
      <c r="I209" s="6"/>
      <c r="J209" s="6"/>
      <c r="K209" s="6"/>
      <c r="L209" s="6"/>
      <c r="M209" s="6"/>
      <c r="N209" s="348" t="s">
        <v>275</v>
      </c>
      <c r="O209" s="348"/>
      <c r="P209" s="348"/>
      <c r="Q209" s="348"/>
      <c r="R209" s="348"/>
      <c r="S209" s="348"/>
      <c r="T209" s="348"/>
      <c r="U209" s="348"/>
      <c r="V209" s="348"/>
      <c r="W209" s="348"/>
      <c r="X209" s="348"/>
      <c r="Y209" s="6"/>
      <c r="Z209" s="6"/>
      <c r="AA209" s="6"/>
      <c r="AB209" s="6"/>
      <c r="AC209" s="6"/>
      <c r="AD209" s="6"/>
      <c r="AE209" s="6"/>
      <c r="AF209" s="6"/>
      <c r="AG209" s="6"/>
      <c r="AH209" s="6"/>
      <c r="AI209" s="6"/>
      <c r="AJ209" s="6"/>
      <c r="AK209" s="6"/>
      <c r="AL209" s="6"/>
      <c r="AM209" s="41"/>
    </row>
    <row r="210" spans="1:39" x14ac:dyDescent="0.3">
      <c r="A210" s="5"/>
      <c r="B210" s="6"/>
      <c r="C210" s="6"/>
      <c r="D210" s="6"/>
      <c r="E210" s="6"/>
      <c r="F210" s="6"/>
      <c r="G210" s="6"/>
      <c r="H210" s="6"/>
      <c r="I210" s="6"/>
      <c r="J210" s="6"/>
      <c r="K210" s="6"/>
      <c r="L210" s="6"/>
      <c r="M210" s="6"/>
      <c r="N210" s="348"/>
      <c r="O210" s="348"/>
      <c r="P210" s="348"/>
      <c r="Q210" s="348"/>
      <c r="R210" s="348"/>
      <c r="S210" s="348"/>
      <c r="T210" s="348"/>
      <c r="U210" s="348"/>
      <c r="V210" s="348"/>
      <c r="W210" s="348"/>
      <c r="X210" s="348"/>
      <c r="Y210" s="6"/>
      <c r="Z210" s="6"/>
      <c r="AA210" s="6"/>
      <c r="AB210" s="6"/>
      <c r="AC210" s="6"/>
      <c r="AD210" s="6"/>
      <c r="AE210" s="6"/>
      <c r="AF210" s="6"/>
      <c r="AG210" s="6"/>
      <c r="AH210" s="6"/>
      <c r="AI210" s="6"/>
      <c r="AJ210" s="6"/>
      <c r="AK210" s="6"/>
      <c r="AL210" s="6"/>
      <c r="AM210" s="41"/>
    </row>
    <row r="211" spans="1:39" ht="15" thickBot="1" x14ac:dyDescent="0.35">
      <c r="A211" s="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42"/>
    </row>
    <row r="212" spans="1:39" x14ac:dyDescent="0.3">
      <c r="A212" s="221" t="s">
        <v>281</v>
      </c>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60"/>
    </row>
    <row r="213" spans="1:39" x14ac:dyDescent="0.3">
      <c r="A213" s="222" t="s">
        <v>206</v>
      </c>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41"/>
    </row>
    <row r="214" spans="1:39" x14ac:dyDescent="0.3">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41"/>
    </row>
    <row r="215" spans="1:39" ht="49.8" customHeight="1" x14ac:dyDescent="0.3">
      <c r="A215" s="229" t="s">
        <v>192</v>
      </c>
      <c r="B215" s="343" t="s">
        <v>337</v>
      </c>
      <c r="C215" s="343"/>
      <c r="D215" s="343"/>
      <c r="E215" s="343"/>
      <c r="F215" s="343"/>
      <c r="G215" s="343"/>
      <c r="H215" s="343"/>
      <c r="I215" s="343"/>
      <c r="J215" s="343"/>
      <c r="K215" s="343"/>
      <c r="L215" s="343"/>
      <c r="M215" s="6"/>
      <c r="N215" s="204" t="s">
        <v>116</v>
      </c>
      <c r="O215" s="204" t="s">
        <v>117</v>
      </c>
      <c r="P215" s="204" t="s">
        <v>164</v>
      </c>
      <c r="Q215" s="204" t="s">
        <v>21</v>
      </c>
      <c r="R215" s="204" t="s">
        <v>165</v>
      </c>
      <c r="S215" s="204" t="s">
        <v>166</v>
      </c>
      <c r="T215" s="204" t="s">
        <v>167</v>
      </c>
      <c r="U215" s="204" t="s">
        <v>168</v>
      </c>
      <c r="V215" s="204" t="s">
        <v>169</v>
      </c>
      <c r="W215" s="204" t="s">
        <v>173</v>
      </c>
      <c r="X215" s="204" t="s">
        <v>170</v>
      </c>
      <c r="Y215" s="301" t="s">
        <v>335</v>
      </c>
      <c r="Z215" s="252" t="s">
        <v>336</v>
      </c>
      <c r="AA215" s="6"/>
      <c r="AB215" s="6"/>
      <c r="AC215" s="6"/>
      <c r="AD215" s="6"/>
      <c r="AE215" s="6"/>
      <c r="AF215" s="6"/>
      <c r="AG215" s="6"/>
      <c r="AH215" s="6"/>
      <c r="AI215" s="6"/>
      <c r="AJ215" s="6"/>
      <c r="AK215" s="6"/>
      <c r="AL215" s="6"/>
      <c r="AM215" s="41"/>
    </row>
    <row r="216" spans="1:39" ht="60" customHeight="1" x14ac:dyDescent="0.3">
      <c r="A216" s="230" t="s">
        <v>193</v>
      </c>
      <c r="B216" s="343"/>
      <c r="C216" s="343"/>
      <c r="D216" s="343"/>
      <c r="E216" s="343"/>
      <c r="F216" s="343"/>
      <c r="G216" s="343"/>
      <c r="H216" s="343"/>
      <c r="I216" s="343"/>
      <c r="J216" s="343"/>
      <c r="K216" s="343"/>
      <c r="L216" s="343"/>
      <c r="M216" s="6"/>
      <c r="N216" s="127" t="s">
        <v>118</v>
      </c>
      <c r="O216" s="127" t="s">
        <v>287</v>
      </c>
      <c r="P216" s="217">
        <v>954.43300472134001</v>
      </c>
      <c r="Q216" s="127">
        <v>170.63550536130001</v>
      </c>
      <c r="R216" s="127"/>
      <c r="S216" s="127"/>
      <c r="T216" s="127"/>
      <c r="U216" s="127"/>
      <c r="V216" s="127"/>
      <c r="W216" s="127"/>
      <c r="X216" s="127" t="s">
        <v>143</v>
      </c>
      <c r="Y216" s="208">
        <v>16.271557587752199</v>
      </c>
      <c r="Z216" s="208">
        <v>5305.0370800064002</v>
      </c>
      <c r="AA216" s="6"/>
      <c r="AB216" s="6"/>
      <c r="AC216" s="6"/>
      <c r="AD216" s="6"/>
      <c r="AE216" s="6"/>
      <c r="AF216" s="6"/>
      <c r="AG216" s="6"/>
      <c r="AH216" s="6"/>
      <c r="AI216" s="6"/>
      <c r="AJ216" s="6"/>
      <c r="AK216" s="6"/>
      <c r="AL216" s="6"/>
      <c r="AM216" s="41"/>
    </row>
    <row r="217" spans="1:39" x14ac:dyDescent="0.3">
      <c r="A217" s="5"/>
      <c r="B217" s="343"/>
      <c r="C217" s="343"/>
      <c r="D217" s="343"/>
      <c r="E217" s="343"/>
      <c r="F217" s="343"/>
      <c r="G217" s="343"/>
      <c r="H217" s="343"/>
      <c r="I217" s="343"/>
      <c r="J217" s="343"/>
      <c r="K217" s="343"/>
      <c r="L217" s="343"/>
      <c r="M217" s="6"/>
      <c r="N217" s="127" t="s">
        <v>118</v>
      </c>
      <c r="O217" s="127" t="s">
        <v>290</v>
      </c>
      <c r="P217" s="127">
        <v>1135.1323754159</v>
      </c>
      <c r="Q217" s="127">
        <v>201.40062716271001</v>
      </c>
      <c r="R217" s="127"/>
      <c r="S217" s="299">
        <v>5.8735139051612117</v>
      </c>
      <c r="T217" s="218">
        <v>0.17025583256409313</v>
      </c>
      <c r="U217" s="127"/>
      <c r="V217" s="127"/>
      <c r="W217" s="127"/>
      <c r="X217" s="127" t="s">
        <v>143</v>
      </c>
      <c r="Y217" s="208">
        <v>18.3715575877522</v>
      </c>
      <c r="Z217" s="208">
        <v>6865.3200089339998</v>
      </c>
      <c r="AA217" s="6"/>
      <c r="AB217" s="6"/>
      <c r="AC217" s="6"/>
      <c r="AD217" s="6"/>
      <c r="AE217" s="6"/>
      <c r="AF217" s="6"/>
      <c r="AG217" s="6"/>
      <c r="AH217" s="6"/>
      <c r="AI217" s="6"/>
      <c r="AJ217" s="6"/>
      <c r="AK217" s="6"/>
      <c r="AL217" s="6"/>
      <c r="AM217" s="41"/>
    </row>
    <row r="218" spans="1:39" ht="61.8" customHeight="1" x14ac:dyDescent="0.3">
      <c r="A218" s="231"/>
      <c r="B218" s="343"/>
      <c r="C218" s="343"/>
      <c r="D218" s="343"/>
      <c r="E218" s="343"/>
      <c r="F218" s="343"/>
      <c r="G218" s="343"/>
      <c r="H218" s="343"/>
      <c r="I218" s="343"/>
      <c r="J218" s="343"/>
      <c r="K218" s="343"/>
      <c r="L218" s="343"/>
      <c r="M218" s="6"/>
      <c r="N218" s="127" t="s">
        <v>118</v>
      </c>
      <c r="O218" s="127" t="s">
        <v>292</v>
      </c>
      <c r="P218" s="127">
        <v>1212.9225786838999</v>
      </c>
      <c r="Q218" s="127">
        <v>212.00841330239999</v>
      </c>
      <c r="R218" s="127"/>
      <c r="S218" s="299">
        <v>7.333311799805327</v>
      </c>
      <c r="T218" s="218">
        <v>0.13636403678165523</v>
      </c>
      <c r="U218" s="214"/>
      <c r="V218" s="217"/>
      <c r="W218" s="127"/>
      <c r="X218" s="127" t="s">
        <v>143</v>
      </c>
      <c r="Y218" s="208">
        <v>20.071557587752203</v>
      </c>
      <c r="Z218" s="208">
        <v>7676.8641854289999</v>
      </c>
      <c r="AA218" s="6"/>
      <c r="AB218" s="6"/>
      <c r="AC218" s="6"/>
      <c r="AD218" s="6"/>
      <c r="AE218" s="6"/>
      <c r="AF218" s="6"/>
      <c r="AG218" s="6"/>
      <c r="AH218" s="6"/>
      <c r="AI218" s="6"/>
      <c r="AJ218" s="6"/>
      <c r="AK218" s="6"/>
      <c r="AL218" s="6"/>
      <c r="AM218" s="41"/>
    </row>
    <row r="219" spans="1:39" x14ac:dyDescent="0.3">
      <c r="A219" s="5"/>
      <c r="B219" s="343"/>
      <c r="C219" s="343"/>
      <c r="D219" s="343"/>
      <c r="E219" s="343"/>
      <c r="F219" s="343"/>
      <c r="G219" s="343"/>
      <c r="H219" s="343"/>
      <c r="I219" s="343"/>
      <c r="J219" s="343"/>
      <c r="K219" s="343"/>
      <c r="L219" s="343"/>
      <c r="M219" s="6"/>
      <c r="N219" s="127" t="s">
        <v>118</v>
      </c>
      <c r="O219" s="127" t="s">
        <v>294</v>
      </c>
      <c r="P219" s="127">
        <v>1250.1065042012001</v>
      </c>
      <c r="Q219" s="127">
        <v>215.32718107013</v>
      </c>
      <c r="R219" s="127"/>
      <c r="S219" s="127" t="s">
        <v>172</v>
      </c>
      <c r="T219" s="218"/>
      <c r="U219" s="219">
        <v>215.72697839744239</v>
      </c>
      <c r="V219" s="219">
        <v>0.99814674395255365</v>
      </c>
      <c r="W219" s="219">
        <v>11.204136028696416</v>
      </c>
      <c r="X219" s="300" t="s">
        <v>146</v>
      </c>
      <c r="Y219" s="208">
        <v>20.771557587752199</v>
      </c>
      <c r="Z219" s="208">
        <v>8104.8169368565004</v>
      </c>
      <c r="AA219" s="6"/>
      <c r="AB219" s="6"/>
      <c r="AC219" s="6"/>
      <c r="AD219" s="6"/>
      <c r="AE219" s="6"/>
      <c r="AF219" s="6"/>
      <c r="AG219" s="6"/>
      <c r="AH219" s="6"/>
      <c r="AI219" s="6"/>
      <c r="AJ219" s="6"/>
      <c r="AK219" s="6"/>
      <c r="AL219" s="6"/>
      <c r="AM219" s="41"/>
    </row>
    <row r="220" spans="1:39" ht="27" customHeight="1" x14ac:dyDescent="0.3">
      <c r="A220" s="5"/>
      <c r="B220" s="343"/>
      <c r="C220" s="343"/>
      <c r="D220" s="343"/>
      <c r="E220" s="343"/>
      <c r="F220" s="343"/>
      <c r="G220" s="343"/>
      <c r="H220" s="343"/>
      <c r="I220" s="343"/>
      <c r="J220" s="343"/>
      <c r="K220" s="343"/>
      <c r="L220" s="343"/>
      <c r="M220" s="6"/>
      <c r="N220" s="127" t="s">
        <v>118</v>
      </c>
      <c r="O220" s="127" t="s">
        <v>302</v>
      </c>
      <c r="P220" s="127">
        <v>1402.4219882576001</v>
      </c>
      <c r="Q220" s="127">
        <v>230.21465479035999</v>
      </c>
      <c r="R220" s="127"/>
      <c r="S220" s="127" t="s">
        <v>172</v>
      </c>
      <c r="T220" s="218"/>
      <c r="U220" s="219">
        <v>230.95923358747328</v>
      </c>
      <c r="V220" s="219">
        <v>0.99677614622482158</v>
      </c>
      <c r="W220" s="219">
        <v>10.40848599635561</v>
      </c>
      <c r="X220" s="300" t="s">
        <v>146</v>
      </c>
      <c r="Y220" s="208">
        <v>20.971557587752201</v>
      </c>
      <c r="Z220" s="208">
        <v>9265.0563851854004</v>
      </c>
      <c r="AA220" s="6"/>
      <c r="AB220" s="6"/>
      <c r="AC220" s="6"/>
      <c r="AD220" s="6"/>
      <c r="AE220" s="6"/>
      <c r="AF220" s="6"/>
      <c r="AG220" s="6"/>
      <c r="AH220" s="6"/>
      <c r="AI220" s="6"/>
      <c r="AJ220" s="6"/>
      <c r="AK220" s="6"/>
      <c r="AL220" s="6"/>
      <c r="AM220" s="41"/>
    </row>
    <row r="221" spans="1:39" x14ac:dyDescent="0.3">
      <c r="A221" s="5"/>
      <c r="B221" s="343"/>
      <c r="C221" s="343"/>
      <c r="D221" s="343"/>
      <c r="E221" s="343"/>
      <c r="F221" s="343"/>
      <c r="G221" s="343"/>
      <c r="H221" s="343"/>
      <c r="I221" s="343"/>
      <c r="J221" s="343"/>
      <c r="K221" s="343"/>
      <c r="L221" s="343"/>
      <c r="M221" s="6"/>
      <c r="N221" s="127" t="s">
        <v>118</v>
      </c>
      <c r="O221" s="127" t="s">
        <v>307</v>
      </c>
      <c r="P221" s="127">
        <v>1510.2660226782</v>
      </c>
      <c r="Q221" s="127">
        <v>241.74413745455999</v>
      </c>
      <c r="R221" s="127"/>
      <c r="S221" s="299">
        <v>9.9995359949120672</v>
      </c>
      <c r="T221" s="218">
        <v>0.10000464026619003</v>
      </c>
      <c r="U221" s="219"/>
      <c r="V221" s="219"/>
      <c r="W221" s="219"/>
      <c r="X221" s="127" t="s">
        <v>143</v>
      </c>
      <c r="Y221" s="208">
        <v>22.771557587752199</v>
      </c>
      <c r="Z221" s="208">
        <v>10520.474398664999</v>
      </c>
      <c r="AA221" s="6"/>
      <c r="AB221" s="6"/>
      <c r="AC221" s="6"/>
      <c r="AD221" s="6"/>
      <c r="AE221" s="6"/>
      <c r="AF221" s="6"/>
      <c r="AG221" s="6"/>
      <c r="AH221" s="6"/>
      <c r="AI221" s="6"/>
      <c r="AJ221" s="6"/>
      <c r="AK221" s="6"/>
      <c r="AL221" s="6"/>
      <c r="AM221" s="41"/>
    </row>
    <row r="222" spans="1:39" x14ac:dyDescent="0.3">
      <c r="A222" s="5"/>
      <c r="B222" s="343"/>
      <c r="C222" s="343"/>
      <c r="D222" s="343"/>
      <c r="E222" s="343"/>
      <c r="F222" s="343"/>
      <c r="G222" s="343"/>
      <c r="H222" s="343"/>
      <c r="I222" s="343"/>
      <c r="J222" s="343"/>
      <c r="K222" s="343"/>
      <c r="L222" s="343"/>
      <c r="M222" s="6"/>
      <c r="N222" s="127" t="s">
        <v>118</v>
      </c>
      <c r="O222" s="127" t="s">
        <v>310</v>
      </c>
      <c r="P222" s="127">
        <v>1556.5020297839999</v>
      </c>
      <c r="Q222" s="127">
        <v>244.8779923219</v>
      </c>
      <c r="R222" s="127"/>
      <c r="S222" s="299">
        <v>14.753716768334172</v>
      </c>
      <c r="T222" s="218">
        <v>6.7779530792287879E-2</v>
      </c>
      <c r="U222" s="219"/>
      <c r="V222" s="219"/>
      <c r="W222" s="219"/>
      <c r="X222" s="127" t="s">
        <v>143</v>
      </c>
      <c r="Y222" s="208">
        <v>23.471557587752201</v>
      </c>
      <c r="Z222" s="208">
        <v>11129.654130192001</v>
      </c>
      <c r="AA222" s="6"/>
      <c r="AB222" s="6"/>
      <c r="AC222" s="6"/>
      <c r="AD222" s="6"/>
      <c r="AE222" s="6"/>
      <c r="AF222" s="6"/>
      <c r="AG222" s="6"/>
      <c r="AH222" s="6"/>
      <c r="AI222" s="6"/>
      <c r="AJ222" s="6"/>
      <c r="AK222" s="6"/>
      <c r="AL222" s="6"/>
      <c r="AM222" s="41"/>
    </row>
    <row r="223" spans="1:39" x14ac:dyDescent="0.3">
      <c r="A223" s="5"/>
      <c r="B223" s="343"/>
      <c r="C223" s="343"/>
      <c r="D223" s="343"/>
      <c r="E223" s="343"/>
      <c r="F223" s="343"/>
      <c r="G223" s="343"/>
      <c r="H223" s="343"/>
      <c r="I223" s="343"/>
      <c r="J223" s="343"/>
      <c r="K223" s="343"/>
      <c r="L223" s="343"/>
      <c r="M223" s="6"/>
      <c r="N223" s="127" t="s">
        <v>118</v>
      </c>
      <c r="O223" s="127" t="s">
        <v>216</v>
      </c>
      <c r="P223" s="127">
        <v>1937.2268891053</v>
      </c>
      <c r="Q223" s="127">
        <v>265.32347369074</v>
      </c>
      <c r="R223" s="127"/>
      <c r="S223" s="127" t="s">
        <v>172</v>
      </c>
      <c r="T223" s="218"/>
      <c r="U223" s="219">
        <v>266.79442351829346</v>
      </c>
      <c r="V223" s="219">
        <v>0.99448657956131303</v>
      </c>
      <c r="W223" s="219">
        <v>18.621467132661639</v>
      </c>
      <c r="X223" s="300" t="s">
        <v>146</v>
      </c>
      <c r="Y223" s="208">
        <v>24.471557587752201</v>
      </c>
      <c r="Z223" s="208">
        <v>15563.470299803999</v>
      </c>
      <c r="AA223" s="6"/>
      <c r="AB223" s="6"/>
      <c r="AC223" s="6"/>
      <c r="AD223" s="6"/>
      <c r="AE223" s="6"/>
      <c r="AF223" s="6"/>
      <c r="AG223" s="6"/>
      <c r="AH223" s="6"/>
      <c r="AI223" s="6"/>
      <c r="AJ223" s="6"/>
      <c r="AK223" s="6"/>
      <c r="AL223" s="6"/>
      <c r="AM223" s="41"/>
    </row>
    <row r="224" spans="1:39" x14ac:dyDescent="0.3">
      <c r="A224" s="5"/>
      <c r="B224" s="343"/>
      <c r="C224" s="343"/>
      <c r="D224" s="343"/>
      <c r="E224" s="343"/>
      <c r="F224" s="343"/>
      <c r="G224" s="343"/>
      <c r="H224" s="343"/>
      <c r="I224" s="343"/>
      <c r="J224" s="343"/>
      <c r="K224" s="343"/>
      <c r="L224" s="343"/>
      <c r="M224" s="6"/>
      <c r="N224" s="127" t="s">
        <v>118</v>
      </c>
      <c r="O224" s="127" t="s">
        <v>252</v>
      </c>
      <c r="P224" s="127">
        <v>2051.8119673496999</v>
      </c>
      <c r="Q224" s="127">
        <v>273.39051495281001</v>
      </c>
      <c r="R224" s="127"/>
      <c r="S224" s="299">
        <v>17.371663110185196</v>
      </c>
      <c r="T224" s="218">
        <v>5.7565012264927537E-2</v>
      </c>
      <c r="U224" s="219"/>
      <c r="V224" s="219"/>
      <c r="W224" s="219"/>
      <c r="X224" s="127" t="s">
        <v>143</v>
      </c>
      <c r="Y224" s="208">
        <v>25.8715575877522</v>
      </c>
      <c r="Z224" s="208">
        <v>17225.447162542001</v>
      </c>
      <c r="AA224" s="6"/>
      <c r="AB224" s="6"/>
      <c r="AC224" s="6"/>
      <c r="AD224" s="6"/>
      <c r="AE224" s="6"/>
      <c r="AF224" s="6"/>
      <c r="AG224" s="6"/>
      <c r="AH224" s="6"/>
      <c r="AI224" s="6"/>
      <c r="AJ224" s="6"/>
      <c r="AK224" s="6"/>
      <c r="AL224" s="6"/>
      <c r="AM224" s="41"/>
    </row>
    <row r="225" spans="1:39" x14ac:dyDescent="0.3">
      <c r="A225" s="5"/>
      <c r="B225" s="343"/>
      <c r="C225" s="343"/>
      <c r="D225" s="343"/>
      <c r="E225" s="343"/>
      <c r="F225" s="343"/>
      <c r="G225" s="343"/>
      <c r="H225" s="343"/>
      <c r="I225" s="343"/>
      <c r="J225" s="343"/>
      <c r="K225" s="343"/>
      <c r="L225" s="343"/>
      <c r="M225" s="6"/>
      <c r="N225" s="127" t="s">
        <v>118</v>
      </c>
      <c r="O225" s="127" t="s">
        <v>253</v>
      </c>
      <c r="P225" s="127">
        <v>2127.7243878077002</v>
      </c>
      <c r="Q225" s="127">
        <v>276.17414157486002</v>
      </c>
      <c r="R225" s="127"/>
      <c r="S225" s="299">
        <v>27.271049880279705</v>
      </c>
      <c r="T225" s="218">
        <v>3.6668921966334783E-2</v>
      </c>
      <c r="U225" s="219"/>
      <c r="V225" s="219"/>
      <c r="W225" s="219"/>
      <c r="X225" s="127" t="s">
        <v>143</v>
      </c>
      <c r="Y225" s="208">
        <v>26.471557587752201</v>
      </c>
      <c r="Z225" s="208">
        <v>18422.603758875</v>
      </c>
      <c r="AA225" s="6"/>
      <c r="AB225" s="6"/>
      <c r="AC225" s="6"/>
      <c r="AD225" s="6"/>
      <c r="AE225" s="6"/>
      <c r="AF225" s="6"/>
      <c r="AG225" s="6"/>
      <c r="AH225" s="6"/>
      <c r="AI225" s="6"/>
      <c r="AJ225" s="6"/>
      <c r="AK225" s="6"/>
      <c r="AL225" s="6"/>
      <c r="AM225" s="41"/>
    </row>
    <row r="226" spans="1:39" x14ac:dyDescent="0.3">
      <c r="A226" s="5"/>
      <c r="B226" s="343"/>
      <c r="C226" s="343"/>
      <c r="D226" s="343"/>
      <c r="E226" s="343"/>
      <c r="F226" s="343"/>
      <c r="G226" s="343"/>
      <c r="H226" s="343"/>
      <c r="I226" s="343"/>
      <c r="J226" s="343"/>
      <c r="K226" s="343"/>
      <c r="L226" s="343"/>
      <c r="M226" s="6"/>
      <c r="N226" s="127" t="s">
        <v>118</v>
      </c>
      <c r="O226" s="127" t="s">
        <v>331</v>
      </c>
      <c r="P226" s="127">
        <v>2528.4446353937001</v>
      </c>
      <c r="Q226" s="127">
        <v>277.53259770897</v>
      </c>
      <c r="R226" s="127"/>
      <c r="S226" s="127" t="s">
        <v>172</v>
      </c>
      <c r="T226" s="218"/>
      <c r="U226" s="219">
        <v>282.80341969487694</v>
      </c>
      <c r="V226" s="219">
        <v>0.98136224098140767</v>
      </c>
      <c r="W226" s="219">
        <v>294.98210323039854</v>
      </c>
      <c r="X226" s="300" t="s">
        <v>146</v>
      </c>
      <c r="Y226" s="208">
        <v>26.571557587752203</v>
      </c>
      <c r="Z226" s="208">
        <v>15430.219067767999</v>
      </c>
      <c r="AA226" s="6"/>
      <c r="AB226" s="6"/>
      <c r="AC226" s="6"/>
      <c r="AD226" s="6"/>
      <c r="AE226" s="6"/>
      <c r="AF226" s="6"/>
      <c r="AG226" s="6"/>
      <c r="AH226" s="6"/>
      <c r="AI226" s="6"/>
      <c r="AJ226" s="6"/>
      <c r="AK226" s="6"/>
      <c r="AL226" s="6"/>
      <c r="AM226" s="41"/>
    </row>
    <row r="227" spans="1:39" x14ac:dyDescent="0.3">
      <c r="A227" s="5"/>
      <c r="B227" s="343"/>
      <c r="C227" s="343"/>
      <c r="D227" s="343"/>
      <c r="E227" s="343"/>
      <c r="F227" s="343"/>
      <c r="G227" s="343"/>
      <c r="H227" s="343"/>
      <c r="I227" s="343"/>
      <c r="J227" s="343"/>
      <c r="K227" s="343"/>
      <c r="L227" s="343"/>
      <c r="M227" s="6"/>
      <c r="N227" s="127" t="s">
        <v>118</v>
      </c>
      <c r="O227" s="127" t="s">
        <v>220</v>
      </c>
      <c r="P227" s="127">
        <v>2732.9433004721</v>
      </c>
      <c r="Q227" s="127">
        <v>284.06009243667</v>
      </c>
      <c r="R227" s="127"/>
      <c r="S227" s="127" t="s">
        <v>172</v>
      </c>
      <c r="T227" s="218"/>
      <c r="U227" s="219">
        <v>286.18652432745722</v>
      </c>
      <c r="V227" s="219">
        <v>0.99256976932864205</v>
      </c>
      <c r="W227" s="219">
        <v>76.746472717113733</v>
      </c>
      <c r="X227" s="300" t="s">
        <v>146</v>
      </c>
      <c r="Y227" s="208">
        <v>26.3715575877522</v>
      </c>
      <c r="Z227" s="208">
        <v>10890.740907333</v>
      </c>
      <c r="AA227" s="6"/>
      <c r="AB227" s="6"/>
      <c r="AC227" s="6"/>
      <c r="AD227" s="6"/>
      <c r="AE227" s="6"/>
      <c r="AF227" s="6"/>
      <c r="AG227" s="6"/>
      <c r="AH227" s="6"/>
      <c r="AI227" s="6"/>
      <c r="AJ227" s="6"/>
      <c r="AK227" s="6"/>
      <c r="AL227" s="6"/>
      <c r="AM227" s="41"/>
    </row>
    <row r="228" spans="1:39" x14ac:dyDescent="0.3">
      <c r="A228" s="5"/>
      <c r="B228" s="297"/>
      <c r="C228" s="297"/>
      <c r="D228" s="297"/>
      <c r="E228" s="297"/>
      <c r="F228" s="297"/>
      <c r="G228" s="297"/>
      <c r="H228" s="297"/>
      <c r="I228" s="297"/>
      <c r="J228" s="297"/>
      <c r="K228" s="297"/>
      <c r="L228" s="297"/>
      <c r="M228" s="6"/>
      <c r="N228" s="127" t="s">
        <v>118</v>
      </c>
      <c r="O228" s="127" t="s">
        <v>333</v>
      </c>
      <c r="P228" s="127">
        <v>2892.1161557567002</v>
      </c>
      <c r="Q228" s="127">
        <v>288.39381740754999</v>
      </c>
      <c r="R228" s="127"/>
      <c r="S228" s="127" t="s">
        <v>172</v>
      </c>
      <c r="T228" s="218"/>
      <c r="U228" s="219">
        <v>288.81978564428744</v>
      </c>
      <c r="V228" s="219">
        <v>0.99852514177383234</v>
      </c>
      <c r="W228" s="219">
        <v>62.554177247820739</v>
      </c>
      <c r="X228" s="300" t="s">
        <v>146</v>
      </c>
      <c r="Y228" s="208">
        <v>27.271557587752199</v>
      </c>
      <c r="Z228" s="208">
        <v>11979.414444038001</v>
      </c>
      <c r="AA228" s="6"/>
      <c r="AB228" s="6"/>
      <c r="AC228" s="6"/>
      <c r="AD228" s="6"/>
      <c r="AE228" s="6"/>
      <c r="AF228" s="6"/>
      <c r="AG228" s="6"/>
      <c r="AH228" s="6"/>
      <c r="AI228" s="6"/>
      <c r="AJ228" s="6"/>
      <c r="AK228" s="6"/>
      <c r="AL228" s="6"/>
      <c r="AM228" s="41"/>
    </row>
    <row r="229" spans="1:39" x14ac:dyDescent="0.3">
      <c r="A229" s="5"/>
      <c r="B229" s="297"/>
      <c r="C229" s="297"/>
      <c r="D229" s="297"/>
      <c r="E229" s="297"/>
      <c r="F229" s="297"/>
      <c r="G229" s="297"/>
      <c r="H229" s="297"/>
      <c r="I229" s="297"/>
      <c r="J229" s="297"/>
      <c r="K229" s="297"/>
      <c r="L229" s="297"/>
      <c r="M229" s="6"/>
      <c r="N229" s="127" t="s">
        <v>118</v>
      </c>
      <c r="O229" s="127" t="s">
        <v>334</v>
      </c>
      <c r="P229" s="127">
        <v>3002.3394733522</v>
      </c>
      <c r="Q229" s="127">
        <v>290.64325484019997</v>
      </c>
      <c r="R229" s="127"/>
      <c r="S229" s="299">
        <v>60.447041190810005</v>
      </c>
      <c r="T229" s="218">
        <v>1.6543406927782493E-2</v>
      </c>
      <c r="U229" s="219"/>
      <c r="V229" s="219"/>
      <c r="W229" s="219"/>
      <c r="X229" s="127" t="s">
        <v>143</v>
      </c>
      <c r="Y229" s="208">
        <v>27.771557587752202</v>
      </c>
      <c r="Z229" s="208">
        <v>12758.68396998</v>
      </c>
      <c r="AA229" s="6"/>
      <c r="AB229" s="6"/>
      <c r="AC229" s="6"/>
      <c r="AD229" s="6"/>
      <c r="AE229" s="6"/>
      <c r="AF229" s="6"/>
      <c r="AG229" s="6"/>
      <c r="AH229" s="6"/>
      <c r="AI229" s="6"/>
      <c r="AJ229" s="6"/>
      <c r="AK229" s="6"/>
      <c r="AL229" s="6"/>
      <c r="AM229" s="41"/>
    </row>
    <row r="230" spans="1:39" x14ac:dyDescent="0.3">
      <c r="A230" s="5"/>
      <c r="B230" s="297"/>
      <c r="C230" s="297"/>
      <c r="D230" s="297"/>
      <c r="E230" s="297"/>
      <c r="F230" s="297"/>
      <c r="G230" s="297"/>
      <c r="H230" s="297"/>
      <c r="I230" s="297"/>
      <c r="J230" s="297"/>
      <c r="K230" s="297"/>
      <c r="L230" s="297"/>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41"/>
    </row>
    <row r="231" spans="1:39" x14ac:dyDescent="0.3">
      <c r="A231" s="5"/>
      <c r="B231" s="297"/>
      <c r="C231" s="297"/>
      <c r="D231" s="297"/>
      <c r="E231" s="297"/>
      <c r="F231" s="297"/>
      <c r="G231" s="297"/>
      <c r="H231" s="297"/>
      <c r="I231" s="297"/>
      <c r="J231" s="297"/>
      <c r="K231" s="297"/>
      <c r="L231" s="297"/>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41"/>
    </row>
    <row r="232" spans="1:39" x14ac:dyDescent="0.3">
      <c r="A232" s="5"/>
      <c r="B232" s="297"/>
      <c r="C232" s="297"/>
      <c r="D232" s="297"/>
      <c r="E232" s="297"/>
      <c r="F232" s="297"/>
      <c r="G232" s="297"/>
      <c r="H232" s="297"/>
      <c r="I232" s="297"/>
      <c r="J232" s="297"/>
      <c r="K232" s="297"/>
      <c r="L232" s="297"/>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41"/>
    </row>
    <row r="233" spans="1:39" x14ac:dyDescent="0.3">
      <c r="A233" s="5"/>
      <c r="B233" s="297"/>
      <c r="C233" s="297"/>
      <c r="D233" s="297"/>
      <c r="E233" s="297"/>
      <c r="F233" s="297"/>
      <c r="G233" s="297"/>
      <c r="H233" s="297"/>
      <c r="I233" s="297"/>
      <c r="J233" s="297"/>
      <c r="K233" s="297"/>
      <c r="L233" s="297"/>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41"/>
    </row>
    <row r="234" spans="1:39" x14ac:dyDescent="0.3">
      <c r="A234" s="5"/>
      <c r="B234" s="297"/>
      <c r="C234" s="297"/>
      <c r="D234" s="297"/>
      <c r="E234" s="297"/>
      <c r="F234" s="297"/>
      <c r="G234" s="297"/>
      <c r="H234" s="297"/>
      <c r="I234" s="297"/>
      <c r="J234" s="297"/>
      <c r="K234" s="297"/>
      <c r="L234" s="297"/>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41"/>
    </row>
    <row r="235" spans="1:39" x14ac:dyDescent="0.3">
      <c r="A235" s="303"/>
      <c r="B235" s="302"/>
      <c r="C235" s="302"/>
      <c r="D235" s="302"/>
      <c r="E235" s="302"/>
      <c r="F235" s="302"/>
      <c r="G235" s="302"/>
      <c r="H235" s="302"/>
      <c r="I235" s="302"/>
      <c r="J235" s="302"/>
      <c r="K235" s="302"/>
      <c r="L235" s="302"/>
      <c r="M235" s="128"/>
      <c r="N235" s="128"/>
      <c r="O235" s="128"/>
      <c r="P235" s="6"/>
      <c r="Q235" s="6"/>
      <c r="R235" s="6"/>
      <c r="S235" s="6"/>
      <c r="T235" s="6"/>
      <c r="U235" s="6"/>
      <c r="V235" s="6"/>
      <c r="W235" s="6"/>
      <c r="X235" s="6"/>
      <c r="Y235" s="6"/>
      <c r="Z235" s="6"/>
      <c r="AA235" s="6"/>
      <c r="AB235" s="6"/>
      <c r="AC235" s="6"/>
      <c r="AD235" s="6"/>
      <c r="AE235" s="6"/>
      <c r="AF235" s="6"/>
      <c r="AG235" s="6"/>
      <c r="AH235" s="6"/>
      <c r="AI235" s="6"/>
      <c r="AJ235" s="6"/>
      <c r="AK235" s="6"/>
      <c r="AL235" s="6"/>
      <c r="AM235" s="41"/>
    </row>
    <row r="236" spans="1:39" x14ac:dyDescent="0.3">
      <c r="A236" s="5"/>
      <c r="B236" s="297"/>
      <c r="C236" s="297"/>
      <c r="D236" s="297"/>
      <c r="E236" s="297"/>
      <c r="F236" s="297"/>
      <c r="G236" s="297"/>
      <c r="H236" s="297"/>
      <c r="I236" s="297"/>
      <c r="J236" s="297"/>
      <c r="K236" s="297"/>
      <c r="L236" s="297"/>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41"/>
    </row>
    <row r="237" spans="1:39" x14ac:dyDescent="0.3">
      <c r="A237" s="5"/>
      <c r="B237" s="297"/>
      <c r="C237" s="297"/>
      <c r="D237" s="297"/>
      <c r="E237" s="297"/>
      <c r="F237" s="297"/>
      <c r="G237" s="297"/>
      <c r="H237" s="297"/>
      <c r="I237" s="297"/>
      <c r="J237" s="297"/>
      <c r="K237" s="297"/>
      <c r="L237" s="297"/>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41"/>
    </row>
    <row r="238" spans="1:39" x14ac:dyDescent="0.3">
      <c r="A238" s="5"/>
      <c r="B238" s="297"/>
      <c r="C238" s="297"/>
      <c r="D238" s="297"/>
      <c r="E238" s="297"/>
      <c r="F238" s="297"/>
      <c r="G238" s="297"/>
      <c r="H238" s="297"/>
      <c r="I238" s="297"/>
      <c r="J238" s="297"/>
      <c r="K238" s="297"/>
      <c r="L238" s="297"/>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41"/>
    </row>
    <row r="239" spans="1:39" x14ac:dyDescent="0.3">
      <c r="A239" s="5"/>
      <c r="B239" s="297"/>
      <c r="C239" s="297"/>
      <c r="D239" s="297"/>
      <c r="E239" s="297"/>
      <c r="F239" s="297"/>
      <c r="G239" s="297"/>
      <c r="H239" s="297"/>
      <c r="I239" s="297"/>
      <c r="J239" s="297"/>
      <c r="K239" s="297"/>
      <c r="L239" s="297"/>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41"/>
    </row>
    <row r="240" spans="1:39" x14ac:dyDescent="0.3">
      <c r="A240" s="5"/>
      <c r="B240" s="297"/>
      <c r="C240" s="297"/>
      <c r="D240" s="297"/>
      <c r="E240" s="297"/>
      <c r="F240" s="297"/>
      <c r="G240" s="297"/>
      <c r="H240" s="297"/>
      <c r="I240" s="297"/>
      <c r="J240" s="297"/>
      <c r="K240" s="297"/>
      <c r="L240" s="297"/>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41"/>
    </row>
    <row r="241" spans="1:39" x14ac:dyDescent="0.3">
      <c r="A241" s="5"/>
      <c r="B241" s="297"/>
      <c r="C241" s="297"/>
      <c r="D241" s="297"/>
      <c r="E241" s="297"/>
      <c r="F241" s="297"/>
      <c r="G241" s="297"/>
      <c r="H241" s="297"/>
      <c r="I241" s="297"/>
      <c r="J241" s="297"/>
      <c r="K241" s="297"/>
      <c r="L241" s="297"/>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41"/>
    </row>
    <row r="242" spans="1:39" x14ac:dyDescent="0.3">
      <c r="A242" s="5"/>
      <c r="B242" s="297"/>
      <c r="C242" s="297"/>
      <c r="D242" s="297"/>
      <c r="E242" s="297"/>
      <c r="F242" s="297"/>
      <c r="G242" s="297"/>
      <c r="H242" s="297"/>
      <c r="I242" s="297"/>
      <c r="J242" s="297"/>
      <c r="K242" s="297"/>
      <c r="L242" s="297"/>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41"/>
    </row>
    <row r="243" spans="1:39" x14ac:dyDescent="0.3">
      <c r="A243" s="5"/>
      <c r="B243" s="297"/>
      <c r="C243" s="297"/>
      <c r="D243" s="297"/>
      <c r="E243" s="297"/>
      <c r="F243" s="297"/>
      <c r="G243" s="297"/>
      <c r="H243" s="297"/>
      <c r="I243" s="297"/>
      <c r="J243" s="297"/>
      <c r="K243" s="297"/>
      <c r="L243" s="297"/>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41"/>
    </row>
    <row r="244" spans="1:39" x14ac:dyDescent="0.3">
      <c r="A244" s="5"/>
      <c r="B244" s="297"/>
      <c r="C244" s="297"/>
      <c r="D244" s="297"/>
      <c r="E244" s="297"/>
      <c r="F244" s="297"/>
      <c r="G244" s="297"/>
      <c r="H244" s="297"/>
      <c r="I244" s="297"/>
      <c r="J244" s="297"/>
      <c r="K244" s="297"/>
      <c r="L244" s="297"/>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41"/>
    </row>
    <row r="245" spans="1:39" x14ac:dyDescent="0.3">
      <c r="A245" s="5"/>
      <c r="B245" s="297"/>
      <c r="C245" s="297"/>
      <c r="D245" s="297"/>
      <c r="E245" s="297"/>
      <c r="F245" s="297"/>
      <c r="G245" s="297"/>
      <c r="H245" s="297"/>
      <c r="I245" s="297"/>
      <c r="J245" s="297"/>
      <c r="K245" s="297"/>
      <c r="L245" s="297"/>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41"/>
    </row>
    <row r="246" spans="1:39" x14ac:dyDescent="0.3">
      <c r="A246" s="5"/>
      <c r="B246" s="297"/>
      <c r="C246" s="297"/>
      <c r="D246" s="297"/>
      <c r="E246" s="297"/>
      <c r="F246" s="297"/>
      <c r="G246" s="297"/>
      <c r="H246" s="297"/>
      <c r="I246" s="297"/>
      <c r="J246" s="297"/>
      <c r="K246" s="297"/>
      <c r="L246" s="297"/>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41"/>
    </row>
    <row r="247" spans="1:39" x14ac:dyDescent="0.3">
      <c r="A247" s="5"/>
      <c r="B247" s="297"/>
      <c r="C247" s="297"/>
      <c r="D247" s="297"/>
      <c r="E247" s="297"/>
      <c r="F247" s="297"/>
      <c r="G247" s="297"/>
      <c r="H247" s="297"/>
      <c r="I247" s="297"/>
      <c r="J247" s="297"/>
      <c r="K247" s="297"/>
      <c r="L247" s="297"/>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41"/>
    </row>
    <row r="248" spans="1:39" x14ac:dyDescent="0.3">
      <c r="A248" s="5"/>
      <c r="B248" s="297"/>
      <c r="C248" s="297"/>
      <c r="D248" s="297"/>
      <c r="E248" s="297"/>
      <c r="F248" s="297"/>
      <c r="G248" s="297"/>
      <c r="H248" s="297"/>
      <c r="I248" s="297"/>
      <c r="J248" s="297"/>
      <c r="K248" s="297"/>
      <c r="L248" s="297"/>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41"/>
    </row>
    <row r="249" spans="1:39" x14ac:dyDescent="0.3">
      <c r="A249" s="5"/>
      <c r="B249" s="297"/>
      <c r="C249" s="297"/>
      <c r="D249" s="297"/>
      <c r="E249" s="297"/>
      <c r="F249" s="297"/>
      <c r="G249" s="297"/>
      <c r="H249" s="297"/>
      <c r="I249" s="297"/>
      <c r="J249" s="297"/>
      <c r="K249" s="297"/>
      <c r="L249" s="297"/>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41"/>
    </row>
    <row r="250" spans="1:39" x14ac:dyDescent="0.3">
      <c r="A250" s="5"/>
      <c r="B250" s="297"/>
      <c r="C250" s="297"/>
      <c r="D250" s="297"/>
      <c r="E250" s="297"/>
      <c r="F250" s="297"/>
      <c r="G250" s="297"/>
      <c r="H250" s="297"/>
      <c r="I250" s="297"/>
      <c r="J250" s="297"/>
      <c r="K250" s="297"/>
      <c r="L250" s="297"/>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41"/>
    </row>
    <row r="251" spans="1:39" x14ac:dyDescent="0.3">
      <c r="A251" s="5"/>
      <c r="B251" s="297"/>
      <c r="C251" s="297"/>
      <c r="D251" s="297"/>
      <c r="E251" s="297"/>
      <c r="F251" s="297"/>
      <c r="G251" s="297"/>
      <c r="H251" s="297"/>
      <c r="I251" s="297"/>
      <c r="J251" s="297"/>
      <c r="K251" s="297"/>
      <c r="L251" s="297"/>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41"/>
    </row>
    <row r="252" spans="1:39" x14ac:dyDescent="0.3">
      <c r="A252" s="5"/>
      <c r="B252" s="297"/>
      <c r="C252" s="297"/>
      <c r="D252" s="297"/>
      <c r="E252" s="297"/>
      <c r="F252" s="297"/>
      <c r="G252" s="297"/>
      <c r="H252" s="297"/>
      <c r="I252" s="297"/>
      <c r="J252" s="297"/>
      <c r="K252" s="297"/>
      <c r="L252" s="297"/>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41"/>
    </row>
    <row r="253" spans="1:39" x14ac:dyDescent="0.3">
      <c r="A253" s="5"/>
      <c r="B253" s="297"/>
      <c r="C253" s="297"/>
      <c r="D253" s="297"/>
      <c r="E253" s="297"/>
      <c r="F253" s="297"/>
      <c r="G253" s="297"/>
      <c r="H253" s="297"/>
      <c r="I253" s="297"/>
      <c r="J253" s="297"/>
      <c r="K253" s="297"/>
      <c r="L253" s="297"/>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41"/>
    </row>
    <row r="254" spans="1:39" x14ac:dyDescent="0.3">
      <c r="A254" s="5"/>
      <c r="B254" s="297"/>
      <c r="C254" s="297"/>
      <c r="D254" s="297"/>
      <c r="E254" s="297"/>
      <c r="F254" s="297"/>
      <c r="G254" s="297"/>
      <c r="H254" s="297"/>
      <c r="I254" s="297"/>
      <c r="J254" s="297"/>
      <c r="K254" s="297"/>
      <c r="L254" s="297"/>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41"/>
    </row>
    <row r="255" spans="1:39" x14ac:dyDescent="0.3">
      <c r="A255" s="5"/>
      <c r="B255" s="297"/>
      <c r="C255" s="297"/>
      <c r="D255" s="297"/>
      <c r="E255" s="297"/>
      <c r="F255" s="297"/>
      <c r="G255" s="297"/>
      <c r="H255" s="297"/>
      <c r="I255" s="297"/>
      <c r="J255" s="297"/>
      <c r="K255" s="297"/>
      <c r="L255" s="297"/>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41"/>
    </row>
    <row r="256" spans="1:39" x14ac:dyDescent="0.3">
      <c r="A256" s="5"/>
      <c r="B256" s="297"/>
      <c r="C256" s="297"/>
      <c r="D256" s="297"/>
      <c r="E256" s="297"/>
      <c r="F256" s="297"/>
      <c r="G256" s="297"/>
      <c r="H256" s="297"/>
      <c r="I256" s="297"/>
      <c r="J256" s="297"/>
      <c r="K256" s="297"/>
      <c r="L256" s="297"/>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41"/>
    </row>
    <row r="257" spans="1:39" x14ac:dyDescent="0.3">
      <c r="A257" s="5"/>
      <c r="B257" s="297"/>
      <c r="C257" s="297"/>
      <c r="D257" s="297"/>
      <c r="E257" s="297"/>
      <c r="F257" s="297"/>
      <c r="G257" s="297"/>
      <c r="H257" s="297"/>
      <c r="I257" s="297"/>
      <c r="J257" s="297"/>
      <c r="K257" s="297"/>
      <c r="L257" s="297"/>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41"/>
    </row>
    <row r="258" spans="1:39" x14ac:dyDescent="0.3">
      <c r="A258" s="5"/>
      <c r="B258" s="297"/>
      <c r="C258" s="297"/>
      <c r="D258" s="297"/>
      <c r="E258" s="297"/>
      <c r="F258" s="297"/>
      <c r="G258" s="297"/>
      <c r="H258" s="297"/>
      <c r="I258" s="297"/>
      <c r="J258" s="297"/>
      <c r="K258" s="297"/>
      <c r="L258" s="297"/>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41"/>
    </row>
    <row r="259" spans="1:39" x14ac:dyDescent="0.3">
      <c r="A259" s="5"/>
      <c r="B259" s="297"/>
      <c r="C259" s="297"/>
      <c r="D259" s="297"/>
      <c r="E259" s="297"/>
      <c r="F259" s="297"/>
      <c r="G259" s="297"/>
      <c r="H259" s="297"/>
      <c r="I259" s="297"/>
      <c r="J259" s="297"/>
      <c r="K259" s="297"/>
      <c r="L259" s="297"/>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41"/>
    </row>
    <row r="260" spans="1:39" x14ac:dyDescent="0.3">
      <c r="A260" s="5"/>
      <c r="B260" s="297"/>
      <c r="C260" s="297"/>
      <c r="D260" s="297"/>
      <c r="E260" s="297"/>
      <c r="F260" s="297"/>
      <c r="G260" s="297"/>
      <c r="H260" s="297"/>
      <c r="I260" s="297"/>
      <c r="J260" s="297"/>
      <c r="K260" s="297"/>
      <c r="L260" s="297"/>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41"/>
    </row>
    <row r="261" spans="1:39" x14ac:dyDescent="0.3">
      <c r="A261" s="5"/>
      <c r="B261" s="297"/>
      <c r="C261" s="297"/>
      <c r="D261" s="297"/>
      <c r="E261" s="297"/>
      <c r="F261" s="297"/>
      <c r="G261" s="297"/>
      <c r="H261" s="297"/>
      <c r="I261" s="297"/>
      <c r="J261" s="297"/>
      <c r="K261" s="297"/>
      <c r="L261" s="297"/>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41"/>
    </row>
    <row r="262" spans="1:39" ht="15" thickBot="1" x14ac:dyDescent="0.35">
      <c r="A262" s="9"/>
      <c r="B262" s="304"/>
      <c r="C262" s="304"/>
      <c r="D262" s="304"/>
      <c r="E262" s="304"/>
      <c r="F262" s="304"/>
      <c r="G262" s="304"/>
      <c r="H262" s="304"/>
      <c r="I262" s="304"/>
      <c r="J262" s="304"/>
      <c r="K262" s="304"/>
      <c r="L262" s="30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42"/>
    </row>
    <row r="263" spans="1:39" x14ac:dyDescent="0.3">
      <c r="A263" s="3"/>
      <c r="B263" s="333"/>
      <c r="C263" s="333"/>
      <c r="D263" s="333"/>
      <c r="E263" s="333"/>
      <c r="F263" s="333"/>
      <c r="G263" s="333"/>
      <c r="H263" s="333"/>
      <c r="I263" s="333"/>
      <c r="J263" s="333"/>
      <c r="K263" s="333"/>
      <c r="L263" s="333"/>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60"/>
    </row>
    <row r="264" spans="1:39" x14ac:dyDescent="0.3">
      <c r="A264" s="222" t="s">
        <v>283</v>
      </c>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41"/>
    </row>
    <row r="265" spans="1:39" x14ac:dyDescent="0.3">
      <c r="A265" s="222" t="s">
        <v>284</v>
      </c>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41"/>
    </row>
    <row r="266" spans="1:39" x14ac:dyDescent="0.3">
      <c r="A266" s="222" t="s">
        <v>282</v>
      </c>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41"/>
    </row>
    <row r="267" spans="1:39" x14ac:dyDescent="0.3">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41"/>
    </row>
    <row r="268" spans="1:39" ht="14.4" customHeight="1" x14ac:dyDescent="0.3">
      <c r="A268" s="229" t="s">
        <v>192</v>
      </c>
      <c r="B268" s="343" t="s">
        <v>352</v>
      </c>
      <c r="C268" s="343"/>
      <c r="D268" s="343"/>
      <c r="E268" s="343"/>
      <c r="F268" s="343"/>
      <c r="G268" s="343"/>
      <c r="H268" s="343"/>
      <c r="I268" s="343"/>
      <c r="J268" s="343"/>
      <c r="K268" s="343"/>
      <c r="L268" s="343"/>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41"/>
    </row>
    <row r="269" spans="1:39" ht="34.200000000000003" customHeight="1" x14ac:dyDescent="0.3">
      <c r="A269" s="230" t="s">
        <v>193</v>
      </c>
      <c r="B269" s="343"/>
      <c r="C269" s="343"/>
      <c r="D269" s="343"/>
      <c r="E269" s="343"/>
      <c r="F269" s="343"/>
      <c r="G269" s="343"/>
      <c r="H269" s="343"/>
      <c r="I269" s="343"/>
      <c r="J269" s="343"/>
      <c r="K269" s="343"/>
      <c r="L269" s="343"/>
      <c r="M269" s="6"/>
      <c r="N269" s="320" t="s">
        <v>340</v>
      </c>
      <c r="O269" s="321" t="s">
        <v>117</v>
      </c>
      <c r="P269" s="321" t="s">
        <v>263</v>
      </c>
      <c r="Q269" s="321" t="s">
        <v>164</v>
      </c>
      <c r="R269" s="321" t="s">
        <v>21</v>
      </c>
      <c r="S269" s="321" t="s">
        <v>344</v>
      </c>
      <c r="T269" s="321" t="s">
        <v>345</v>
      </c>
      <c r="U269" s="322" t="s">
        <v>338</v>
      </c>
      <c r="V269" s="6"/>
      <c r="W269" s="6"/>
      <c r="X269" s="6"/>
      <c r="Y269" s="6"/>
      <c r="Z269" s="6"/>
      <c r="AA269" s="6"/>
      <c r="AB269" s="6"/>
      <c r="AC269" s="6"/>
      <c r="AD269" s="6"/>
      <c r="AE269" s="6"/>
      <c r="AF269" s="6"/>
      <c r="AG269" s="6"/>
      <c r="AH269" s="6"/>
      <c r="AI269" s="6"/>
      <c r="AJ269" s="6"/>
      <c r="AK269" s="6"/>
      <c r="AL269" s="6"/>
      <c r="AM269" s="41"/>
    </row>
    <row r="270" spans="1:39" x14ac:dyDescent="0.3">
      <c r="A270" s="5"/>
      <c r="B270" s="343"/>
      <c r="C270" s="343"/>
      <c r="D270" s="343"/>
      <c r="E270" s="343"/>
      <c r="F270" s="343"/>
      <c r="G270" s="343"/>
      <c r="H270" s="343"/>
      <c r="I270" s="343"/>
      <c r="J270" s="343"/>
      <c r="K270" s="343"/>
      <c r="L270" s="343"/>
      <c r="M270" s="6"/>
      <c r="N270" s="307" t="s">
        <v>341</v>
      </c>
      <c r="O270" s="308"/>
      <c r="P270" s="308"/>
      <c r="Q270" s="308"/>
      <c r="R270" s="308"/>
      <c r="S270" s="308"/>
      <c r="T270" s="308"/>
      <c r="U270" s="309"/>
      <c r="V270" s="6"/>
      <c r="W270" s="6"/>
      <c r="X270" s="6"/>
      <c r="Y270" s="6"/>
      <c r="Z270" s="6"/>
      <c r="AA270" s="6"/>
      <c r="AB270" s="6"/>
      <c r="AC270" s="6"/>
      <c r="AD270" s="6"/>
      <c r="AE270" s="6"/>
      <c r="AF270" s="6"/>
      <c r="AG270" s="6"/>
      <c r="AH270" s="6"/>
      <c r="AI270" s="6"/>
      <c r="AJ270" s="6"/>
      <c r="AK270" s="6"/>
      <c r="AL270" s="6"/>
      <c r="AM270" s="41"/>
    </row>
    <row r="271" spans="1:39" x14ac:dyDescent="0.3">
      <c r="A271" s="231"/>
      <c r="B271" s="343"/>
      <c r="C271" s="343"/>
      <c r="D271" s="343"/>
      <c r="E271" s="343"/>
      <c r="F271" s="343"/>
      <c r="G271" s="343"/>
      <c r="H271" s="343"/>
      <c r="I271" s="343"/>
      <c r="J271" s="343"/>
      <c r="K271" s="343"/>
      <c r="L271" s="343"/>
      <c r="M271" s="6"/>
      <c r="N271" s="310"/>
      <c r="O271" s="35" t="s">
        <v>127</v>
      </c>
      <c r="P271" s="128">
        <v>0</v>
      </c>
      <c r="Q271" s="311">
        <v>3228.3051976117999</v>
      </c>
      <c r="R271" s="306">
        <v>277.72917369409339</v>
      </c>
      <c r="S271" s="6"/>
      <c r="T271" s="6"/>
      <c r="U271" s="312">
        <v>25.570314487259829</v>
      </c>
      <c r="V271" s="6"/>
      <c r="W271" s="6"/>
      <c r="X271" s="6"/>
      <c r="Y271" s="6"/>
      <c r="Z271" s="6"/>
      <c r="AA271" s="6"/>
      <c r="AB271" s="6"/>
      <c r="AC271" s="6"/>
      <c r="AD271" s="6"/>
      <c r="AE271" s="6"/>
      <c r="AF271" s="6"/>
      <c r="AG271" s="6"/>
      <c r="AH271" s="6"/>
      <c r="AI271" s="6"/>
      <c r="AJ271" s="6"/>
      <c r="AK271" s="6"/>
      <c r="AL271" s="6"/>
      <c r="AM271" s="41"/>
    </row>
    <row r="272" spans="1:39" x14ac:dyDescent="0.3">
      <c r="A272" s="5"/>
      <c r="B272" s="343"/>
      <c r="C272" s="343"/>
      <c r="D272" s="343"/>
      <c r="E272" s="343"/>
      <c r="F272" s="343"/>
      <c r="G272" s="343"/>
      <c r="H272" s="343"/>
      <c r="I272" s="343"/>
      <c r="J272" s="343"/>
      <c r="K272" s="343"/>
      <c r="L272" s="343"/>
      <c r="M272" s="6"/>
      <c r="N272" s="310"/>
      <c r="O272" s="258" t="s">
        <v>126</v>
      </c>
      <c r="P272" s="258">
        <v>0</v>
      </c>
      <c r="Q272" s="256">
        <v>4023.0400641921001</v>
      </c>
      <c r="R272" s="257">
        <v>293.12209487147652</v>
      </c>
      <c r="S272" s="259">
        <v>51.62989256048467</v>
      </c>
      <c r="T272" s="253"/>
      <c r="U272" s="334">
        <v>27.451199361388404</v>
      </c>
      <c r="V272" s="6"/>
      <c r="W272" s="6"/>
      <c r="X272" s="6"/>
      <c r="Y272" s="6"/>
      <c r="Z272" s="6"/>
      <c r="AA272" s="6"/>
      <c r="AB272" s="6"/>
      <c r="AC272" s="6"/>
      <c r="AD272" s="6"/>
      <c r="AE272" s="6"/>
      <c r="AF272" s="6"/>
      <c r="AG272" s="6"/>
      <c r="AH272" s="6"/>
      <c r="AI272" s="6"/>
      <c r="AJ272" s="6"/>
      <c r="AK272" s="6"/>
      <c r="AL272" s="6"/>
      <c r="AM272" s="41"/>
    </row>
    <row r="273" spans="1:39" ht="13.8" customHeight="1" x14ac:dyDescent="0.3">
      <c r="A273" s="5"/>
      <c r="B273" s="343"/>
      <c r="C273" s="343"/>
      <c r="D273" s="343"/>
      <c r="E273" s="343"/>
      <c r="F273" s="343"/>
      <c r="G273" s="343"/>
      <c r="H273" s="343"/>
      <c r="I273" s="343"/>
      <c r="J273" s="343"/>
      <c r="K273" s="343"/>
      <c r="L273" s="343"/>
      <c r="M273" s="6"/>
      <c r="N273" s="313"/>
      <c r="O273" s="319" t="s">
        <v>125</v>
      </c>
      <c r="P273" s="323">
        <v>0</v>
      </c>
      <c r="Q273" s="314">
        <v>6014.7839205541004</v>
      </c>
      <c r="R273" s="315">
        <v>304.73458819641849</v>
      </c>
      <c r="S273" s="318">
        <v>171.5173305705176</v>
      </c>
      <c r="T273" s="316"/>
      <c r="U273" s="317">
        <v>28.84686970710311</v>
      </c>
      <c r="V273" s="6"/>
      <c r="W273" s="6"/>
      <c r="X273" s="6"/>
      <c r="Y273" s="6"/>
      <c r="Z273" s="6"/>
      <c r="AA273" s="6"/>
      <c r="AB273" s="6"/>
      <c r="AC273" s="6"/>
      <c r="AD273" s="6"/>
      <c r="AE273" s="6"/>
      <c r="AF273" s="6"/>
      <c r="AG273" s="6"/>
      <c r="AH273" s="6"/>
      <c r="AI273" s="6"/>
      <c r="AJ273" s="6"/>
      <c r="AK273" s="6"/>
      <c r="AL273" s="6"/>
      <c r="AM273" s="41"/>
    </row>
    <row r="274" spans="1:39" x14ac:dyDescent="0.3">
      <c r="A274" s="5"/>
      <c r="B274" s="343"/>
      <c r="C274" s="343"/>
      <c r="D274" s="343"/>
      <c r="E274" s="343"/>
      <c r="F274" s="343"/>
      <c r="G274" s="343"/>
      <c r="H274" s="343"/>
      <c r="I274" s="343"/>
      <c r="J274" s="343"/>
      <c r="K274" s="343"/>
      <c r="L274" s="343"/>
      <c r="M274" s="6"/>
      <c r="N274" s="307" t="s">
        <v>342</v>
      </c>
      <c r="O274" s="308" t="s">
        <v>290</v>
      </c>
      <c r="P274" s="324">
        <v>6865.3200089339998</v>
      </c>
      <c r="Q274" s="308">
        <v>1135.1323754159</v>
      </c>
      <c r="R274" s="308">
        <v>201.40062716271001</v>
      </c>
      <c r="S274" s="324"/>
      <c r="T274" s="325">
        <v>5.8735139051612117</v>
      </c>
      <c r="U274" s="326">
        <v>18.3715575877522</v>
      </c>
      <c r="V274" s="6"/>
      <c r="W274" s="6"/>
      <c r="X274" s="6"/>
      <c r="Y274" s="6"/>
      <c r="Z274" s="6"/>
      <c r="AA274" s="6"/>
      <c r="AB274" s="6"/>
      <c r="AC274" s="6"/>
      <c r="AD274" s="6"/>
      <c r="AE274" s="6"/>
      <c r="AF274" s="6"/>
      <c r="AG274" s="6"/>
      <c r="AH274" s="6"/>
      <c r="AI274" s="6"/>
      <c r="AJ274" s="6"/>
      <c r="AK274" s="6"/>
      <c r="AL274" s="6"/>
      <c r="AM274" s="41"/>
    </row>
    <row r="275" spans="1:39" x14ac:dyDescent="0.3">
      <c r="A275" s="5"/>
      <c r="B275" s="343"/>
      <c r="C275" s="343"/>
      <c r="D275" s="343"/>
      <c r="E275" s="343"/>
      <c r="F275" s="343"/>
      <c r="G275" s="343"/>
      <c r="H275" s="343"/>
      <c r="I275" s="343"/>
      <c r="J275" s="343"/>
      <c r="K275" s="343"/>
      <c r="L275" s="343"/>
      <c r="M275" s="6"/>
      <c r="N275" s="327"/>
      <c r="O275" s="6" t="s">
        <v>300</v>
      </c>
      <c r="P275" s="128">
        <v>6502.4172834603996</v>
      </c>
      <c r="Q275" s="6">
        <v>1366.3816903768</v>
      </c>
      <c r="R275" s="6">
        <v>205.17713539936</v>
      </c>
      <c r="S275" s="128" t="s">
        <v>172</v>
      </c>
      <c r="T275" s="255"/>
      <c r="U275" s="328">
        <v>18.8715575877522</v>
      </c>
      <c r="V275" s="6"/>
      <c r="W275" s="6"/>
      <c r="X275" s="6"/>
      <c r="Y275" s="6"/>
      <c r="Z275" s="6"/>
      <c r="AA275" s="6"/>
      <c r="AB275" s="6"/>
      <c r="AC275" s="6"/>
      <c r="AD275" s="6"/>
      <c r="AE275" s="6"/>
      <c r="AF275" s="6"/>
      <c r="AG275" s="6"/>
      <c r="AH275" s="6"/>
      <c r="AI275" s="6"/>
      <c r="AJ275" s="6"/>
      <c r="AK275" s="6"/>
      <c r="AL275" s="6"/>
      <c r="AM275" s="41"/>
    </row>
    <row r="276" spans="1:39" x14ac:dyDescent="0.3">
      <c r="A276" s="5"/>
      <c r="B276" s="343"/>
      <c r="C276" s="343"/>
      <c r="D276" s="343"/>
      <c r="E276" s="343"/>
      <c r="F276" s="343"/>
      <c r="G276" s="343"/>
      <c r="H276" s="343"/>
      <c r="I276" s="343"/>
      <c r="J276" s="343"/>
      <c r="K276" s="343"/>
      <c r="L276" s="343"/>
      <c r="M276" s="6"/>
      <c r="N276" s="327"/>
      <c r="O276" s="6" t="s">
        <v>302</v>
      </c>
      <c r="P276" s="128">
        <v>9265.0563851854004</v>
      </c>
      <c r="Q276" s="6">
        <v>1402.4219882576001</v>
      </c>
      <c r="R276" s="6">
        <v>230.21465479035999</v>
      </c>
      <c r="S276" s="128">
        <v>9.2763710889625379</v>
      </c>
      <c r="T276" s="255" t="s">
        <v>347</v>
      </c>
      <c r="U276" s="328">
        <v>20.971557587752201</v>
      </c>
      <c r="V276" s="6"/>
      <c r="W276" s="6"/>
      <c r="X276" s="6"/>
      <c r="Y276" s="6"/>
      <c r="Z276" s="6"/>
      <c r="AA276" s="6"/>
      <c r="AB276" s="6"/>
      <c r="AC276" s="6"/>
      <c r="AD276" s="6"/>
      <c r="AE276" s="6"/>
      <c r="AF276" s="6"/>
      <c r="AG276" s="6"/>
      <c r="AH276" s="6"/>
      <c r="AI276" s="6"/>
      <c r="AJ276" s="6"/>
      <c r="AK276" s="6"/>
      <c r="AL276" s="6"/>
      <c r="AM276" s="41"/>
    </row>
    <row r="277" spans="1:39" x14ac:dyDescent="0.3">
      <c r="A277" s="5"/>
      <c r="B277" s="343"/>
      <c r="C277" s="343"/>
      <c r="D277" s="343"/>
      <c r="E277" s="343"/>
      <c r="F277" s="343"/>
      <c r="G277" s="343"/>
      <c r="H277" s="343"/>
      <c r="I277" s="343"/>
      <c r="J277" s="343"/>
      <c r="K277" s="343"/>
      <c r="L277" s="343"/>
      <c r="M277" s="6"/>
      <c r="N277" s="327"/>
      <c r="O277" s="6" t="s">
        <v>308</v>
      </c>
      <c r="P277" s="128">
        <v>4381.2405774803001</v>
      </c>
      <c r="Q277" s="6">
        <v>1524.132766276</v>
      </c>
      <c r="R277" s="6">
        <v>217.62770007302001</v>
      </c>
      <c r="S277" s="128" t="s">
        <v>171</v>
      </c>
      <c r="T277" s="255"/>
      <c r="U277" s="328">
        <v>20.471557587752201</v>
      </c>
      <c r="V277" s="6"/>
      <c r="W277" s="6"/>
      <c r="X277" s="6"/>
      <c r="Y277" s="6"/>
      <c r="Z277" s="6"/>
      <c r="AA277" s="6"/>
      <c r="AB277" s="6"/>
      <c r="AC277" s="6"/>
      <c r="AD277" s="6"/>
      <c r="AE277" s="6"/>
      <c r="AF277" s="6"/>
      <c r="AG277" s="6"/>
      <c r="AH277" s="6"/>
      <c r="AI277" s="6"/>
      <c r="AJ277" s="6"/>
      <c r="AK277" s="6"/>
      <c r="AL277" s="6"/>
      <c r="AM277" s="41"/>
    </row>
    <row r="278" spans="1:39" x14ac:dyDescent="0.3">
      <c r="A278" s="5"/>
      <c r="B278" s="343"/>
      <c r="C278" s="343"/>
      <c r="D278" s="343"/>
      <c r="E278" s="343"/>
      <c r="F278" s="343"/>
      <c r="G278" s="343"/>
      <c r="H278" s="343"/>
      <c r="I278" s="343"/>
      <c r="J278" s="343"/>
      <c r="K278" s="343"/>
      <c r="L278" s="343"/>
      <c r="M278" s="6"/>
      <c r="N278" s="327"/>
      <c r="O278" s="6" t="s">
        <v>316</v>
      </c>
      <c r="P278" s="128">
        <v>8461.5300104023008</v>
      </c>
      <c r="Q278" s="6">
        <v>1676.0010360894</v>
      </c>
      <c r="R278" s="6">
        <v>233.73483325814999</v>
      </c>
      <c r="S278" s="128" t="s">
        <v>172</v>
      </c>
      <c r="T278" s="255"/>
      <c r="U278" s="328">
        <v>21.471557587752201</v>
      </c>
      <c r="V278" s="6"/>
      <c r="W278" s="6"/>
      <c r="X278" s="6"/>
      <c r="Y278" s="6"/>
      <c r="Z278" s="6"/>
      <c r="AA278" s="6"/>
      <c r="AB278" s="6"/>
      <c r="AC278" s="6"/>
      <c r="AD278" s="6"/>
      <c r="AE278" s="6"/>
      <c r="AF278" s="6"/>
      <c r="AG278" s="6"/>
      <c r="AH278" s="6"/>
      <c r="AI278" s="6"/>
      <c r="AJ278" s="6"/>
      <c r="AK278" s="6"/>
      <c r="AL278" s="6"/>
      <c r="AM278" s="41"/>
    </row>
    <row r="279" spans="1:39" x14ac:dyDescent="0.3">
      <c r="A279" s="5"/>
      <c r="B279" s="343"/>
      <c r="C279" s="343"/>
      <c r="D279" s="343"/>
      <c r="E279" s="343"/>
      <c r="F279" s="343"/>
      <c r="G279" s="343"/>
      <c r="H279" s="343"/>
      <c r="I279" s="343"/>
      <c r="J279" s="343"/>
      <c r="K279" s="343"/>
      <c r="L279" s="343"/>
      <c r="M279" s="6"/>
      <c r="N279" s="327"/>
      <c r="O279" s="6" t="s">
        <v>218</v>
      </c>
      <c r="P279" s="128">
        <v>5958.3762452202</v>
      </c>
      <c r="Q279" s="6">
        <v>1865.7403386213</v>
      </c>
      <c r="R279" s="6">
        <v>250.22782031078</v>
      </c>
      <c r="S279" s="128" t="s">
        <v>172</v>
      </c>
      <c r="T279" s="255"/>
      <c r="U279" s="328">
        <v>23.171557587752201</v>
      </c>
      <c r="V279" s="6"/>
      <c r="W279" s="6"/>
      <c r="X279" s="6"/>
      <c r="Y279" s="6"/>
      <c r="Z279" s="6"/>
      <c r="AA279" s="6"/>
      <c r="AB279" s="6"/>
      <c r="AC279" s="6"/>
      <c r="AD279" s="6"/>
      <c r="AE279" s="6"/>
      <c r="AF279" s="6"/>
      <c r="AG279" s="6"/>
      <c r="AH279" s="6"/>
      <c r="AI279" s="6"/>
      <c r="AJ279" s="6"/>
      <c r="AK279" s="6"/>
      <c r="AL279" s="6"/>
      <c r="AM279" s="41"/>
    </row>
    <row r="280" spans="1:39" ht="66.599999999999994" customHeight="1" x14ac:dyDescent="0.3">
      <c r="A280" s="5"/>
      <c r="B280" s="249"/>
      <c r="C280" s="249"/>
      <c r="D280" s="249"/>
      <c r="E280" s="249"/>
      <c r="F280" s="249"/>
      <c r="G280" s="249"/>
      <c r="H280" s="249"/>
      <c r="I280" s="249"/>
      <c r="J280" s="249"/>
      <c r="K280" s="249"/>
      <c r="L280" s="249"/>
      <c r="M280" s="6"/>
      <c r="N280" s="327"/>
      <c r="O280" s="6" t="s">
        <v>216</v>
      </c>
      <c r="P280" s="128">
        <v>15563.470299803999</v>
      </c>
      <c r="Q280" s="6">
        <v>1937.2268891053</v>
      </c>
      <c r="R280" s="6">
        <v>265.32347369074</v>
      </c>
      <c r="S280" s="128">
        <v>15.232779614865118</v>
      </c>
      <c r="T280" s="255" t="s">
        <v>348</v>
      </c>
      <c r="U280" s="328">
        <v>24.471557587752201</v>
      </c>
      <c r="V280" s="6"/>
      <c r="W280" s="6"/>
      <c r="X280" s="6"/>
      <c r="Y280" s="6"/>
      <c r="Z280" s="6"/>
      <c r="AA280" s="6"/>
      <c r="AB280" s="6"/>
      <c r="AC280" s="6"/>
      <c r="AD280" s="6"/>
      <c r="AE280" s="6"/>
      <c r="AF280" s="6"/>
      <c r="AG280" s="6"/>
      <c r="AH280" s="6"/>
      <c r="AI280" s="6"/>
      <c r="AJ280" s="6"/>
      <c r="AK280" s="6"/>
      <c r="AL280" s="6"/>
      <c r="AM280" s="41"/>
    </row>
    <row r="281" spans="1:39" x14ac:dyDescent="0.3">
      <c r="A281" s="5"/>
      <c r="B281" s="6"/>
      <c r="C281" s="6"/>
      <c r="D281" s="6"/>
      <c r="E281" s="6"/>
      <c r="F281" s="6"/>
      <c r="G281" s="6"/>
      <c r="H281" s="6"/>
      <c r="I281" s="6"/>
      <c r="J281" s="6"/>
      <c r="K281" s="6"/>
      <c r="L281" s="6"/>
      <c r="M281" s="6"/>
      <c r="N281" s="327"/>
      <c r="O281" s="6" t="s">
        <v>217</v>
      </c>
      <c r="P281" s="128">
        <v>13083.720832842</v>
      </c>
      <c r="Q281" s="6">
        <v>2284.6410084603999</v>
      </c>
      <c r="R281" s="6">
        <v>268.18430282168998</v>
      </c>
      <c r="S281" s="128" t="s">
        <v>346</v>
      </c>
      <c r="T281" s="255"/>
      <c r="U281" s="328">
        <v>24.771557587752199</v>
      </c>
      <c r="V281" s="6"/>
      <c r="W281" s="6"/>
      <c r="X281" s="6"/>
      <c r="Y281" s="6"/>
      <c r="Z281" s="6"/>
      <c r="AA281" s="6"/>
      <c r="AB281" s="6"/>
      <c r="AC281" s="6"/>
      <c r="AD281" s="6"/>
      <c r="AE281" s="6"/>
      <c r="AF281" s="6"/>
      <c r="AG281" s="6"/>
      <c r="AH281" s="6"/>
      <c r="AI281" s="6"/>
      <c r="AJ281" s="6"/>
      <c r="AK281" s="6"/>
      <c r="AL281" s="6"/>
      <c r="AM281" s="41"/>
    </row>
    <row r="282" spans="1:39" x14ac:dyDescent="0.3">
      <c r="A282" s="5"/>
      <c r="B282" s="6"/>
      <c r="C282" s="6"/>
      <c r="D282" s="6"/>
      <c r="E282" s="6"/>
      <c r="F282" s="6"/>
      <c r="G282" s="6"/>
      <c r="H282" s="6"/>
      <c r="I282" s="6"/>
      <c r="J282" s="6"/>
      <c r="K282" s="6"/>
      <c r="L282" s="6"/>
      <c r="M282" s="6"/>
      <c r="N282" s="329"/>
      <c r="O282" s="316" t="s">
        <v>220</v>
      </c>
      <c r="P282" s="323">
        <v>10890.740907333</v>
      </c>
      <c r="Q282" s="316">
        <v>2732.9433004721</v>
      </c>
      <c r="R282" s="316">
        <v>284.06009243667</v>
      </c>
      <c r="S282" s="331">
        <v>42.468516980399507</v>
      </c>
      <c r="T282" s="332" t="s">
        <v>349</v>
      </c>
      <c r="U282" s="330">
        <v>26.3715575877522</v>
      </c>
      <c r="V282" s="6"/>
      <c r="W282" s="6"/>
      <c r="X282" s="6"/>
      <c r="Y282" s="6"/>
      <c r="Z282" s="6"/>
      <c r="AA282" s="6"/>
      <c r="AB282" s="6"/>
      <c r="AC282" s="6"/>
      <c r="AD282" s="6"/>
      <c r="AE282" s="6"/>
      <c r="AF282" s="6"/>
      <c r="AG282" s="6"/>
      <c r="AH282" s="6"/>
      <c r="AI282" s="6"/>
      <c r="AJ282" s="6"/>
      <c r="AK282" s="6"/>
      <c r="AL282" s="6"/>
      <c r="AM282" s="41"/>
    </row>
    <row r="283" spans="1:39" x14ac:dyDescent="0.3">
      <c r="A283" s="5"/>
      <c r="B283" s="6"/>
      <c r="C283" s="6"/>
      <c r="D283" s="6"/>
      <c r="E283" s="6"/>
      <c r="F283" s="6"/>
      <c r="G283" s="6"/>
      <c r="H283" s="6"/>
      <c r="I283" s="6"/>
      <c r="J283" s="6"/>
      <c r="K283" s="6"/>
      <c r="L283" s="6"/>
      <c r="M283" s="6"/>
      <c r="N283" s="6" t="s">
        <v>343</v>
      </c>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41"/>
    </row>
    <row r="284" spans="1:39" x14ac:dyDescent="0.3">
      <c r="A284" s="5"/>
      <c r="B284" s="6"/>
      <c r="C284" s="6"/>
      <c r="D284" s="6"/>
      <c r="E284" s="6"/>
      <c r="F284" s="6"/>
      <c r="G284" s="6"/>
      <c r="H284" s="6"/>
      <c r="I284" s="6"/>
      <c r="J284" s="6"/>
      <c r="K284" s="6"/>
      <c r="L284" s="6"/>
      <c r="M284" s="6"/>
      <c r="N284" s="6" t="s">
        <v>350</v>
      </c>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41"/>
    </row>
    <row r="285" spans="1:39" x14ac:dyDescent="0.3">
      <c r="A285" s="5"/>
      <c r="B285" s="6"/>
      <c r="C285" s="6"/>
      <c r="D285" s="6"/>
      <c r="E285" s="6"/>
      <c r="F285" s="6"/>
      <c r="G285" s="6"/>
      <c r="H285" s="6"/>
      <c r="I285" s="6"/>
      <c r="J285" s="6"/>
      <c r="K285" s="6"/>
      <c r="L285" s="6"/>
      <c r="M285" s="6"/>
      <c r="N285" s="348" t="s">
        <v>351</v>
      </c>
      <c r="O285" s="348"/>
      <c r="P285" s="348"/>
      <c r="Q285" s="348"/>
      <c r="R285" s="348"/>
      <c r="S285" s="348"/>
      <c r="T285" s="348"/>
      <c r="U285" s="348"/>
      <c r="V285" s="6"/>
      <c r="W285" s="6"/>
      <c r="X285" s="6"/>
      <c r="Y285" s="6"/>
      <c r="Z285" s="6"/>
      <c r="AA285" s="6"/>
      <c r="AB285" s="6"/>
      <c r="AC285" s="6"/>
      <c r="AD285" s="6"/>
      <c r="AE285" s="6"/>
      <c r="AF285" s="6"/>
      <c r="AG285" s="6"/>
      <c r="AH285" s="6"/>
      <c r="AI285" s="6"/>
      <c r="AJ285" s="6"/>
      <c r="AK285" s="6"/>
      <c r="AL285" s="6"/>
      <c r="AM285" s="41"/>
    </row>
    <row r="286" spans="1:39" x14ac:dyDescent="0.3">
      <c r="A286" s="5"/>
      <c r="B286" s="6"/>
      <c r="C286" s="6"/>
      <c r="D286" s="6"/>
      <c r="E286" s="6"/>
      <c r="F286" s="6"/>
      <c r="G286" s="6"/>
      <c r="H286" s="6"/>
      <c r="I286" s="6"/>
      <c r="J286" s="6"/>
      <c r="K286" s="6"/>
      <c r="L286" s="6"/>
      <c r="M286" s="6"/>
      <c r="N286" s="348"/>
      <c r="O286" s="348"/>
      <c r="P286" s="348"/>
      <c r="Q286" s="348"/>
      <c r="R286" s="348"/>
      <c r="S286" s="348"/>
      <c r="T286" s="348"/>
      <c r="U286" s="348"/>
      <c r="V286" s="6"/>
      <c r="W286" s="6"/>
      <c r="X286" s="6"/>
      <c r="Y286" s="6"/>
      <c r="Z286" s="6"/>
      <c r="AA286" s="6"/>
      <c r="AB286" s="6"/>
      <c r="AC286" s="6"/>
      <c r="AD286" s="6"/>
      <c r="AE286" s="6"/>
      <c r="AF286" s="6"/>
      <c r="AG286" s="6"/>
      <c r="AH286" s="6"/>
      <c r="AI286" s="6"/>
      <c r="AJ286" s="6"/>
      <c r="AK286" s="6"/>
      <c r="AL286" s="6"/>
      <c r="AM286" s="41"/>
    </row>
    <row r="287" spans="1:39" x14ac:dyDescent="0.3">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41"/>
    </row>
    <row r="288" spans="1:39" x14ac:dyDescent="0.3">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41"/>
    </row>
    <row r="289" spans="1:39" x14ac:dyDescent="0.3">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41"/>
    </row>
    <row r="290" spans="1:39" x14ac:dyDescent="0.3">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41"/>
    </row>
    <row r="291" spans="1:39" x14ac:dyDescent="0.3">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41"/>
    </row>
    <row r="292" spans="1:39" x14ac:dyDescent="0.3">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41"/>
    </row>
    <row r="293" spans="1:39" x14ac:dyDescent="0.3">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41"/>
    </row>
    <row r="294" spans="1:39" x14ac:dyDescent="0.3">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41"/>
    </row>
    <row r="295" spans="1:39" x14ac:dyDescent="0.3">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41"/>
    </row>
    <row r="296" spans="1:39" x14ac:dyDescent="0.3">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41"/>
    </row>
    <row r="297" spans="1:39" x14ac:dyDescent="0.3">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41"/>
    </row>
    <row r="298" spans="1:39" x14ac:dyDescent="0.3">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41"/>
    </row>
    <row r="299" spans="1:39" x14ac:dyDescent="0.3">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41"/>
    </row>
    <row r="300" spans="1:39" ht="15" thickBot="1" x14ac:dyDescent="0.35">
      <c r="A300" s="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42"/>
    </row>
    <row r="301" spans="1:39" x14ac:dyDescent="0.3">
      <c r="A301" s="222" t="s">
        <v>283</v>
      </c>
    </row>
    <row r="302" spans="1:39" x14ac:dyDescent="0.3">
      <c r="A302" s="281" t="s">
        <v>285</v>
      </c>
    </row>
    <row r="303" spans="1:39" x14ac:dyDescent="0.3">
      <c r="A303" s="18" t="s">
        <v>286</v>
      </c>
    </row>
    <row r="305" spans="1:21" ht="28.8" x14ac:dyDescent="0.3">
      <c r="A305" s="229" t="s">
        <v>192</v>
      </c>
      <c r="B305" s="343" t="s">
        <v>353</v>
      </c>
      <c r="C305" s="343"/>
      <c r="D305" s="343"/>
      <c r="E305" s="343"/>
      <c r="F305" s="343"/>
      <c r="G305" s="343"/>
      <c r="H305" s="343"/>
      <c r="I305" s="343"/>
      <c r="J305" s="343"/>
      <c r="K305" s="343"/>
      <c r="L305" s="343"/>
      <c r="N305" s="320" t="s">
        <v>340</v>
      </c>
      <c r="O305" s="321" t="s">
        <v>117</v>
      </c>
      <c r="P305" s="321" t="s">
        <v>263</v>
      </c>
      <c r="Q305" s="321" t="s">
        <v>164</v>
      </c>
      <c r="R305" s="321" t="s">
        <v>21</v>
      </c>
      <c r="S305" s="321" t="s">
        <v>344</v>
      </c>
      <c r="T305" s="321" t="s">
        <v>345</v>
      </c>
      <c r="U305" s="322" t="s">
        <v>338</v>
      </c>
    </row>
    <row r="306" spans="1:21" x14ac:dyDescent="0.3">
      <c r="A306" s="230" t="s">
        <v>193</v>
      </c>
      <c r="B306" s="343"/>
      <c r="C306" s="343"/>
      <c r="D306" s="343"/>
      <c r="E306" s="343"/>
      <c r="F306" s="343"/>
      <c r="G306" s="343"/>
      <c r="H306" s="343"/>
      <c r="I306" s="343"/>
      <c r="J306" s="343"/>
      <c r="K306" s="343"/>
      <c r="L306" s="343"/>
      <c r="N306" s="307" t="s">
        <v>341</v>
      </c>
      <c r="O306" s="308"/>
      <c r="P306" s="308"/>
      <c r="Q306" s="308"/>
      <c r="R306" s="308"/>
      <c r="S306" s="308"/>
      <c r="T306" s="308"/>
      <c r="U306" s="309"/>
    </row>
    <row r="307" spans="1:21" x14ac:dyDescent="0.3">
      <c r="A307" s="5"/>
      <c r="B307" s="343"/>
      <c r="C307" s="343"/>
      <c r="D307" s="343"/>
      <c r="E307" s="343"/>
      <c r="F307" s="343"/>
      <c r="G307" s="343"/>
      <c r="H307" s="343"/>
      <c r="I307" s="343"/>
      <c r="J307" s="343"/>
      <c r="K307" s="343"/>
      <c r="L307" s="343"/>
      <c r="N307" s="310"/>
      <c r="O307" s="35" t="s">
        <v>127</v>
      </c>
      <c r="P307" s="128">
        <v>0</v>
      </c>
      <c r="Q307" s="311">
        <v>3228.3051976117999</v>
      </c>
      <c r="R307" s="306">
        <v>277.72917369409339</v>
      </c>
      <c r="S307" s="6"/>
      <c r="T307" s="6"/>
      <c r="U307" s="312">
        <v>25.570314487259829</v>
      </c>
    </row>
    <row r="308" spans="1:21" x14ac:dyDescent="0.3">
      <c r="A308" s="231"/>
      <c r="B308" s="343"/>
      <c r="C308" s="343"/>
      <c r="D308" s="343"/>
      <c r="E308" s="343"/>
      <c r="F308" s="343"/>
      <c r="G308" s="343"/>
      <c r="H308" s="343"/>
      <c r="I308" s="343"/>
      <c r="J308" s="343"/>
      <c r="K308" s="343"/>
      <c r="L308" s="343"/>
      <c r="N308" s="310"/>
      <c r="O308" s="35" t="s">
        <v>126</v>
      </c>
      <c r="P308" s="35">
        <v>0</v>
      </c>
      <c r="Q308" s="311">
        <v>4023.0400641921001</v>
      </c>
      <c r="R308" s="306">
        <v>293.12209487147652</v>
      </c>
      <c r="S308" s="335">
        <v>51.62989256048467</v>
      </c>
      <c r="T308" s="69"/>
      <c r="U308" s="336">
        <v>27.451199361388404</v>
      </c>
    </row>
    <row r="309" spans="1:21" x14ac:dyDescent="0.3">
      <c r="B309" s="343"/>
      <c r="C309" s="343"/>
      <c r="D309" s="343"/>
      <c r="E309" s="343"/>
      <c r="F309" s="343"/>
      <c r="G309" s="343"/>
      <c r="H309" s="343"/>
      <c r="I309" s="343"/>
      <c r="J309" s="343"/>
      <c r="K309" s="343"/>
      <c r="L309" s="343"/>
      <c r="N309" s="313"/>
      <c r="O309" s="337" t="s">
        <v>125</v>
      </c>
      <c r="P309" s="337">
        <v>0</v>
      </c>
      <c r="Q309" s="338">
        <v>6014.7839205541004</v>
      </c>
      <c r="R309" s="339">
        <v>304.73458819641849</v>
      </c>
      <c r="S309" s="340">
        <v>171.5173305705176</v>
      </c>
      <c r="T309" s="341"/>
      <c r="U309" s="342">
        <v>28.84686970710311</v>
      </c>
    </row>
    <row r="310" spans="1:21" x14ac:dyDescent="0.3">
      <c r="B310" s="343"/>
      <c r="C310" s="343"/>
      <c r="D310" s="343"/>
      <c r="E310" s="343"/>
      <c r="F310" s="343"/>
      <c r="G310" s="343"/>
      <c r="H310" s="343"/>
      <c r="I310" s="343"/>
      <c r="J310" s="343"/>
      <c r="K310" s="343"/>
      <c r="L310" s="343"/>
      <c r="N310" s="307" t="s">
        <v>342</v>
      </c>
      <c r="O310" s="308" t="s">
        <v>290</v>
      </c>
      <c r="P310" s="324">
        <v>6865.3200089339998</v>
      </c>
      <c r="Q310" s="308">
        <v>1135.1323754159</v>
      </c>
      <c r="R310" s="308">
        <v>201.40062716271001</v>
      </c>
      <c r="S310" s="324"/>
      <c r="T310" s="325">
        <v>5.8735139051612117</v>
      </c>
      <c r="U310" s="326">
        <v>18.3715575877522</v>
      </c>
    </row>
    <row r="311" spans="1:21" x14ac:dyDescent="0.3">
      <c r="B311" s="343"/>
      <c r="C311" s="343"/>
      <c r="D311" s="343"/>
      <c r="E311" s="343"/>
      <c r="F311" s="343"/>
      <c r="G311" s="343"/>
      <c r="H311" s="343"/>
      <c r="I311" s="343"/>
      <c r="J311" s="343"/>
      <c r="K311" s="343"/>
      <c r="L311" s="343"/>
      <c r="N311" s="327"/>
      <c r="O311" s="6" t="s">
        <v>300</v>
      </c>
      <c r="P311" s="128">
        <v>6502.4172834603996</v>
      </c>
      <c r="Q311" s="6">
        <v>1366.3816903768</v>
      </c>
      <c r="R311" s="6">
        <v>205.17713539936</v>
      </c>
      <c r="S311" s="128" t="s">
        <v>172</v>
      </c>
      <c r="T311" s="255"/>
      <c r="U311" s="328">
        <v>18.8715575877522</v>
      </c>
    </row>
    <row r="312" spans="1:21" x14ac:dyDescent="0.3">
      <c r="B312" s="343"/>
      <c r="C312" s="343"/>
      <c r="D312" s="343"/>
      <c r="E312" s="343"/>
      <c r="F312" s="343"/>
      <c r="G312" s="343"/>
      <c r="H312" s="343"/>
      <c r="I312" s="343"/>
      <c r="J312" s="343"/>
      <c r="K312" s="343"/>
      <c r="L312" s="343"/>
      <c r="N312" s="327"/>
      <c r="O312" s="6" t="s">
        <v>302</v>
      </c>
      <c r="P312" s="128">
        <v>9265.0563851854004</v>
      </c>
      <c r="Q312" s="6">
        <v>1402.4219882576001</v>
      </c>
      <c r="R312" s="6">
        <v>230.21465479035999</v>
      </c>
      <c r="S312" s="128">
        <v>9.2763710889625379</v>
      </c>
      <c r="T312" s="255" t="s">
        <v>347</v>
      </c>
      <c r="U312" s="328">
        <v>20.971557587752201</v>
      </c>
    </row>
    <row r="313" spans="1:21" x14ac:dyDescent="0.3">
      <c r="B313" s="343"/>
      <c r="C313" s="343"/>
      <c r="D313" s="343"/>
      <c r="E313" s="343"/>
      <c r="F313" s="343"/>
      <c r="G313" s="343"/>
      <c r="H313" s="343"/>
      <c r="I313" s="343"/>
      <c r="J313" s="343"/>
      <c r="K313" s="343"/>
      <c r="L313" s="343"/>
      <c r="N313" s="327"/>
      <c r="O313" s="6" t="s">
        <v>308</v>
      </c>
      <c r="P313" s="128">
        <v>4381.2405774803001</v>
      </c>
      <c r="Q313" s="6">
        <v>1524.132766276</v>
      </c>
      <c r="R313" s="6">
        <v>217.62770007302001</v>
      </c>
      <c r="S313" s="128" t="s">
        <v>171</v>
      </c>
      <c r="T313" s="255"/>
      <c r="U313" s="328">
        <v>20.471557587752201</v>
      </c>
    </row>
    <row r="314" spans="1:21" x14ac:dyDescent="0.3">
      <c r="B314" s="343"/>
      <c r="C314" s="343"/>
      <c r="D314" s="343"/>
      <c r="E314" s="343"/>
      <c r="F314" s="343"/>
      <c r="G314" s="343"/>
      <c r="H314" s="343"/>
      <c r="I314" s="343"/>
      <c r="J314" s="343"/>
      <c r="K314" s="343"/>
      <c r="L314" s="343"/>
      <c r="N314" s="327"/>
      <c r="O314" s="6" t="s">
        <v>316</v>
      </c>
      <c r="P314" s="128">
        <v>8461.5300104023008</v>
      </c>
      <c r="Q314" s="6">
        <v>1676.0010360894</v>
      </c>
      <c r="R314" s="6">
        <v>233.73483325814999</v>
      </c>
      <c r="S314" s="128" t="s">
        <v>172</v>
      </c>
      <c r="T314" s="255"/>
      <c r="U314" s="328">
        <v>21.471557587752201</v>
      </c>
    </row>
    <row r="315" spans="1:21" x14ac:dyDescent="0.3">
      <c r="B315" s="343"/>
      <c r="C315" s="343"/>
      <c r="D315" s="343"/>
      <c r="E315" s="343"/>
      <c r="F315" s="343"/>
      <c r="G315" s="343"/>
      <c r="H315" s="343"/>
      <c r="I315" s="343"/>
      <c r="J315" s="343"/>
      <c r="K315" s="343"/>
      <c r="L315" s="343"/>
      <c r="N315" s="327"/>
      <c r="O315" s="6" t="s">
        <v>218</v>
      </c>
      <c r="P315" s="128">
        <v>5958.3762452202</v>
      </c>
      <c r="Q315" s="6">
        <v>1865.7403386213</v>
      </c>
      <c r="R315" s="6">
        <v>250.22782031078</v>
      </c>
      <c r="S315" s="128" t="s">
        <v>172</v>
      </c>
      <c r="T315" s="255"/>
      <c r="U315" s="328">
        <v>23.171557587752201</v>
      </c>
    </row>
    <row r="316" spans="1:21" x14ac:dyDescent="0.3">
      <c r="B316" s="343"/>
      <c r="C316" s="343"/>
      <c r="D316" s="343"/>
      <c r="E316" s="343"/>
      <c r="F316" s="343"/>
      <c r="G316" s="343"/>
      <c r="H316" s="343"/>
      <c r="I316" s="343"/>
      <c r="J316" s="343"/>
      <c r="K316" s="343"/>
      <c r="L316" s="343"/>
      <c r="N316" s="327"/>
      <c r="O316" s="6" t="s">
        <v>216</v>
      </c>
      <c r="P316" s="128">
        <v>15563.470299803999</v>
      </c>
      <c r="Q316" s="6">
        <v>1937.2268891053</v>
      </c>
      <c r="R316" s="6">
        <v>265.32347369074</v>
      </c>
      <c r="S316" s="128">
        <v>15.232779614865118</v>
      </c>
      <c r="T316" s="255" t="s">
        <v>348</v>
      </c>
      <c r="U316" s="328">
        <v>24.471557587752201</v>
      </c>
    </row>
    <row r="317" spans="1:21" x14ac:dyDescent="0.3">
      <c r="B317" s="343"/>
      <c r="C317" s="343"/>
      <c r="D317" s="343"/>
      <c r="E317" s="343"/>
      <c r="F317" s="343"/>
      <c r="G317" s="343"/>
      <c r="H317" s="343"/>
      <c r="I317" s="343"/>
      <c r="J317" s="343"/>
      <c r="K317" s="343"/>
      <c r="L317" s="343"/>
      <c r="N317" s="327"/>
      <c r="O317" s="6" t="s">
        <v>217</v>
      </c>
      <c r="P317" s="128">
        <v>13083.720832842</v>
      </c>
      <c r="Q317" s="6">
        <v>2284.6410084603999</v>
      </c>
      <c r="R317" s="6">
        <v>268.18430282168998</v>
      </c>
      <c r="S317" s="128" t="s">
        <v>346</v>
      </c>
      <c r="T317" s="255"/>
      <c r="U317" s="328">
        <v>24.771557587752199</v>
      </c>
    </row>
    <row r="318" spans="1:21" x14ac:dyDescent="0.3">
      <c r="N318" s="329"/>
      <c r="O318" s="316" t="s">
        <v>220</v>
      </c>
      <c r="P318" s="323">
        <v>10890.740907333</v>
      </c>
      <c r="Q318" s="316">
        <v>2732.9433004721</v>
      </c>
      <c r="R318" s="316">
        <v>284.06009243667</v>
      </c>
      <c r="S318" s="331">
        <v>42.468516980399507</v>
      </c>
      <c r="T318" s="332" t="s">
        <v>349</v>
      </c>
      <c r="U318" s="330">
        <v>26.3715575877522</v>
      </c>
    </row>
  </sheetData>
  <mergeCells count="23">
    <mergeCell ref="B305:L317"/>
    <mergeCell ref="B268:L279"/>
    <mergeCell ref="N285:U286"/>
    <mergeCell ref="B183:L186"/>
    <mergeCell ref="B176:L177"/>
    <mergeCell ref="B196:L199"/>
    <mergeCell ref="N209:X210"/>
    <mergeCell ref="B215:L227"/>
    <mergeCell ref="A17:A19"/>
    <mergeCell ref="T17:Z19"/>
    <mergeCell ref="B152:L155"/>
    <mergeCell ref="B170:L173"/>
    <mergeCell ref="B108:L110"/>
    <mergeCell ref="B115:L119"/>
    <mergeCell ref="B17:L30"/>
    <mergeCell ref="B4:L5"/>
    <mergeCell ref="B15:L16"/>
    <mergeCell ref="B34:L35"/>
    <mergeCell ref="B42:L43"/>
    <mergeCell ref="B113:L114"/>
    <mergeCell ref="B95:L96"/>
    <mergeCell ref="B97:L99"/>
    <mergeCell ref="B101:L106"/>
  </mergeCells>
  <pageMargins left="0.7" right="0.7" top="0.75" bottom="0.75" header="0.3" footer="0.3"/>
  <pageSetup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39DB5-99AA-43E8-ADEC-5F1AF92C1EB0}">
  <sheetPr>
    <tabColor rgb="FFFFC000"/>
  </sheetPr>
  <dimension ref="A1:AD87"/>
  <sheetViews>
    <sheetView topLeftCell="D1" zoomScale="60" zoomScaleNormal="60" workbookViewId="0">
      <selection activeCell="H76" sqref="H76"/>
    </sheetView>
  </sheetViews>
  <sheetFormatPr defaultRowHeight="14.4" x14ac:dyDescent="0.3"/>
  <cols>
    <col min="1" max="1" width="11.33203125" customWidth="1"/>
    <col min="2" max="2" width="16.77734375" customWidth="1"/>
    <col min="3" max="3" width="13.77734375" customWidth="1"/>
    <col min="4" max="4" width="12.109375" customWidth="1"/>
    <col min="5" max="5" width="19.109375" customWidth="1"/>
    <col min="6" max="6" width="12.44140625" customWidth="1"/>
    <col min="8" max="8" width="19.21875" customWidth="1"/>
    <col min="11" max="11" width="18.5546875" customWidth="1"/>
    <col min="14" max="14" width="11.44140625" customWidth="1"/>
    <col min="15" max="15" width="13.21875" bestFit="1" customWidth="1"/>
    <col min="19" max="19" width="5.77734375" customWidth="1"/>
    <col min="20" max="20" width="11.44140625" customWidth="1"/>
    <col min="21" max="21" width="14.44140625" customWidth="1"/>
    <col min="25" max="25" width="5.33203125" customWidth="1"/>
    <col min="26" max="26" width="11.44140625" customWidth="1"/>
    <col min="27" max="27" width="14.44140625" customWidth="1"/>
  </cols>
  <sheetData>
    <row r="1" spans="1:30" x14ac:dyDescent="0.3">
      <c r="A1" s="122" t="s">
        <v>116</v>
      </c>
      <c r="B1" s="123" t="s">
        <v>117</v>
      </c>
      <c r="C1" s="124" t="s">
        <v>139</v>
      </c>
      <c r="D1" s="122" t="s">
        <v>116</v>
      </c>
      <c r="E1" s="123" t="s">
        <v>117</v>
      </c>
      <c r="F1" s="124" t="s">
        <v>139</v>
      </c>
      <c r="G1" s="122" t="s">
        <v>116</v>
      </c>
      <c r="H1" s="123" t="s">
        <v>117</v>
      </c>
      <c r="I1" s="124" t="s">
        <v>139</v>
      </c>
      <c r="J1" s="122" t="s">
        <v>116</v>
      </c>
      <c r="K1" s="123" t="s">
        <v>117</v>
      </c>
      <c r="L1" s="124" t="s">
        <v>139</v>
      </c>
      <c r="N1" s="18" t="s">
        <v>147</v>
      </c>
      <c r="O1" s="6"/>
      <c r="R1" s="6"/>
      <c r="T1" s="18" t="s">
        <v>147</v>
      </c>
      <c r="U1" s="6"/>
      <c r="X1" s="6"/>
      <c r="Z1" s="18" t="s">
        <v>147</v>
      </c>
      <c r="AA1" s="6"/>
      <c r="AD1" s="6"/>
    </row>
    <row r="2" spans="1:30" ht="15" thickBot="1" x14ac:dyDescent="0.35">
      <c r="A2" s="5" t="s">
        <v>118</v>
      </c>
      <c r="B2" s="6" t="s">
        <v>119</v>
      </c>
      <c r="C2" s="125" t="s">
        <v>146</v>
      </c>
      <c r="D2" s="5" t="s">
        <v>140</v>
      </c>
      <c r="E2" s="6" t="s">
        <v>119</v>
      </c>
      <c r="F2" s="41" t="s">
        <v>143</v>
      </c>
      <c r="G2" s="5" t="s">
        <v>141</v>
      </c>
      <c r="H2" s="6" t="s">
        <v>119</v>
      </c>
      <c r="I2" s="41" t="s">
        <v>143</v>
      </c>
      <c r="J2" s="5" t="s">
        <v>142</v>
      </c>
      <c r="K2" s="6" t="s">
        <v>119</v>
      </c>
      <c r="L2" s="41" t="s">
        <v>143</v>
      </c>
      <c r="N2" s="18" t="s">
        <v>161</v>
      </c>
      <c r="O2" s="6"/>
      <c r="R2" s="6"/>
      <c r="T2" s="18" t="s">
        <v>161</v>
      </c>
      <c r="U2" s="6"/>
      <c r="X2" s="6"/>
      <c r="Z2" s="18" t="s">
        <v>161</v>
      </c>
      <c r="AA2" s="6"/>
      <c r="AD2" s="6"/>
    </row>
    <row r="3" spans="1:30" x14ac:dyDescent="0.3">
      <c r="A3" s="5" t="s">
        <v>118</v>
      </c>
      <c r="B3" s="6" t="s">
        <v>120</v>
      </c>
      <c r="C3" s="41" t="s">
        <v>143</v>
      </c>
      <c r="D3" s="5" t="s">
        <v>140</v>
      </c>
      <c r="E3" s="6" t="s">
        <v>120</v>
      </c>
      <c r="F3" s="41" t="s">
        <v>143</v>
      </c>
      <c r="G3" s="5" t="s">
        <v>141</v>
      </c>
      <c r="H3" s="6" t="s">
        <v>120</v>
      </c>
      <c r="I3" s="41" t="s">
        <v>143</v>
      </c>
      <c r="J3" s="5" t="s">
        <v>142</v>
      </c>
      <c r="K3" s="6" t="s">
        <v>120</v>
      </c>
      <c r="L3" s="41" t="s">
        <v>143</v>
      </c>
      <c r="N3" s="3"/>
      <c r="O3" s="4"/>
      <c r="P3" s="349" t="s">
        <v>151</v>
      </c>
      <c r="Q3" s="349"/>
      <c r="R3" s="350"/>
      <c r="T3" s="3"/>
      <c r="U3" s="4"/>
      <c r="V3" s="349" t="s">
        <v>151</v>
      </c>
      <c r="W3" s="349"/>
      <c r="X3" s="350"/>
      <c r="Z3" s="3"/>
      <c r="AA3" s="4"/>
      <c r="AB3" s="349" t="s">
        <v>151</v>
      </c>
      <c r="AC3" s="349"/>
      <c r="AD3" s="350"/>
    </row>
    <row r="4" spans="1:30" ht="24" x14ac:dyDescent="0.3">
      <c r="A4" s="5" t="s">
        <v>118</v>
      </c>
      <c r="B4" s="6" t="s">
        <v>121</v>
      </c>
      <c r="C4" s="41" t="s">
        <v>143</v>
      </c>
      <c r="D4" s="5" t="s">
        <v>140</v>
      </c>
      <c r="E4" s="6" t="s">
        <v>121</v>
      </c>
      <c r="F4" s="41" t="s">
        <v>143</v>
      </c>
      <c r="G4" s="5" t="s">
        <v>141</v>
      </c>
      <c r="H4" s="6" t="s">
        <v>121</v>
      </c>
      <c r="I4" s="41" t="s">
        <v>143</v>
      </c>
      <c r="J4" s="5" t="s">
        <v>142</v>
      </c>
      <c r="K4" s="6" t="s">
        <v>121</v>
      </c>
      <c r="L4" s="41" t="s">
        <v>144</v>
      </c>
      <c r="N4" s="5"/>
      <c r="O4" s="128" t="s">
        <v>156</v>
      </c>
      <c r="P4" s="132" t="s">
        <v>148</v>
      </c>
      <c r="Q4" s="132" t="s">
        <v>149</v>
      </c>
      <c r="R4" s="133" t="s">
        <v>150</v>
      </c>
      <c r="T4" s="5"/>
      <c r="U4" s="128" t="s">
        <v>156</v>
      </c>
      <c r="V4" s="132" t="s">
        <v>148</v>
      </c>
      <c r="W4" s="132" t="s">
        <v>149</v>
      </c>
      <c r="X4" s="133" t="s">
        <v>150</v>
      </c>
      <c r="Z4" s="5"/>
      <c r="AA4" s="128" t="s">
        <v>156</v>
      </c>
      <c r="AB4" s="132" t="s">
        <v>148</v>
      </c>
      <c r="AC4" s="132" t="s">
        <v>149</v>
      </c>
      <c r="AD4" s="133" t="s">
        <v>150</v>
      </c>
    </row>
    <row r="5" spans="1:30" x14ac:dyDescent="0.3">
      <c r="A5" s="5" t="s">
        <v>118</v>
      </c>
      <c r="B5" s="6" t="s">
        <v>122</v>
      </c>
      <c r="C5" s="41" t="s">
        <v>143</v>
      </c>
      <c r="D5" s="5" t="s">
        <v>140</v>
      </c>
      <c r="E5" s="6" t="s">
        <v>122</v>
      </c>
      <c r="F5" s="41" t="s">
        <v>143</v>
      </c>
      <c r="G5" s="5" t="s">
        <v>141</v>
      </c>
      <c r="H5" s="6" t="s">
        <v>122</v>
      </c>
      <c r="I5" s="41" t="s">
        <v>143</v>
      </c>
      <c r="J5" s="5" t="s">
        <v>142</v>
      </c>
      <c r="K5" s="6" t="s">
        <v>122</v>
      </c>
      <c r="L5" s="41" t="s">
        <v>143</v>
      </c>
      <c r="N5" s="354" t="s">
        <v>118</v>
      </c>
      <c r="O5" s="131" t="s">
        <v>148</v>
      </c>
      <c r="P5" s="127">
        <f>COUNTIFS(C2:C21,"ON",I2:I21,"ON")</f>
        <v>6</v>
      </c>
      <c r="Q5" s="127">
        <f>COUNTIFS(C2:C21,"ON",I2:I21,"NE")</f>
        <v>1</v>
      </c>
      <c r="R5" s="134">
        <f>COUNTIFS(C2:C21,"ON",I2:I21,"OFF")</f>
        <v>0</v>
      </c>
      <c r="T5" s="354" t="s">
        <v>140</v>
      </c>
      <c r="U5" s="131" t="s">
        <v>148</v>
      </c>
      <c r="V5" s="127">
        <f>COUNTIFS(F2:F21,"ON",I2:I21,"ON")</f>
        <v>7</v>
      </c>
      <c r="W5" s="127">
        <f>COUNTIFS(F2:F21,"ON",I2:I21,"NE")</f>
        <v>1</v>
      </c>
      <c r="X5" s="134">
        <f>COUNTIFS(F2:F21,"ON",I2:I21,"OFF")</f>
        <v>0</v>
      </c>
      <c r="Z5" s="354" t="s">
        <v>142</v>
      </c>
      <c r="AA5" s="131" t="s">
        <v>148</v>
      </c>
      <c r="AB5" s="127">
        <f>COUNTIFS(L2:L21,"ON",I2:I21,"ON")</f>
        <v>6</v>
      </c>
      <c r="AC5" s="127">
        <f>COUNTIFS(L2:L21,"ON",I2:I21,"NE")</f>
        <v>0</v>
      </c>
      <c r="AD5" s="134">
        <f>COUNTIFS(L2:L21,"ON",I2:I21,"OFF")</f>
        <v>1</v>
      </c>
    </row>
    <row r="6" spans="1:30" x14ac:dyDescent="0.3">
      <c r="A6" s="5" t="s">
        <v>118</v>
      </c>
      <c r="B6" s="6" t="s">
        <v>123</v>
      </c>
      <c r="C6" s="41" t="s">
        <v>143</v>
      </c>
      <c r="D6" s="5" t="s">
        <v>140</v>
      </c>
      <c r="E6" s="6" t="s">
        <v>123</v>
      </c>
      <c r="F6" s="41" t="s">
        <v>143</v>
      </c>
      <c r="G6" s="5" t="s">
        <v>141</v>
      </c>
      <c r="H6" s="6" t="s">
        <v>123</v>
      </c>
      <c r="I6" s="41" t="s">
        <v>143</v>
      </c>
      <c r="J6" s="5" t="s">
        <v>142</v>
      </c>
      <c r="K6" s="6" t="s">
        <v>123</v>
      </c>
      <c r="L6" s="41" t="s">
        <v>143</v>
      </c>
      <c r="N6" s="354"/>
      <c r="O6" s="131" t="s">
        <v>149</v>
      </c>
      <c r="P6" s="127">
        <f>COUNTIFS(C2:C21,"NE",I2:I21,"ON")</f>
        <v>1</v>
      </c>
      <c r="Q6" s="127">
        <f>COUNTIFS(C2:C21,"NE",I2:I21,"NE")</f>
        <v>0</v>
      </c>
      <c r="R6" s="134">
        <f>COUNTIFS(C2:C21,"NE",I2:I21,"OFF")</f>
        <v>0</v>
      </c>
      <c r="T6" s="354"/>
      <c r="U6" s="131" t="s">
        <v>149</v>
      </c>
      <c r="V6" s="127">
        <f>COUNTIFS(F2:F21,"NE",I2:I21,"ON")</f>
        <v>0</v>
      </c>
      <c r="W6" s="127">
        <f>COUNTIFS(F2:F21,"NE",I2:I21,"NE")</f>
        <v>0</v>
      </c>
      <c r="X6" s="134">
        <f>COUNTIFS(F2:F21,"NE",I2:I21,"OFF")</f>
        <v>0</v>
      </c>
      <c r="Z6" s="354"/>
      <c r="AA6" s="131" t="s">
        <v>149</v>
      </c>
      <c r="AB6" s="127">
        <f>COUNTIFS(L2:L21,"NE",I2:I21,"ON")</f>
        <v>0</v>
      </c>
      <c r="AC6" s="127">
        <f>COUNTIFS(L2:L21,"NE",I2:I21,"NE")</f>
        <v>1</v>
      </c>
      <c r="AD6" s="134">
        <f>COUNTIFS(L2:L21,"NE",I2:I21,"OFF")</f>
        <v>1</v>
      </c>
    </row>
    <row r="7" spans="1:30" x14ac:dyDescent="0.3">
      <c r="A7" s="5" t="s">
        <v>118</v>
      </c>
      <c r="B7" s="6" t="s">
        <v>124</v>
      </c>
      <c r="C7" s="41" t="s">
        <v>143</v>
      </c>
      <c r="D7" s="5" t="s">
        <v>140</v>
      </c>
      <c r="E7" s="6" t="s">
        <v>124</v>
      </c>
      <c r="F7" s="41" t="s">
        <v>143</v>
      </c>
      <c r="G7" s="5" t="s">
        <v>141</v>
      </c>
      <c r="H7" s="6" t="s">
        <v>124</v>
      </c>
      <c r="I7" s="41" t="s">
        <v>146</v>
      </c>
      <c r="J7" s="5" t="s">
        <v>142</v>
      </c>
      <c r="K7" s="6" t="s">
        <v>124</v>
      </c>
      <c r="L7" s="41" t="s">
        <v>146</v>
      </c>
      <c r="N7" s="354"/>
      <c r="O7" s="131" t="s">
        <v>150</v>
      </c>
      <c r="P7" s="127">
        <f>COUNTIFS(C2:C21,"OFF",I2:I21,"ON")</f>
        <v>0</v>
      </c>
      <c r="Q7" s="127">
        <f>COUNTIFS(C2:C21,"OFF",I2:I21,"NE")</f>
        <v>0</v>
      </c>
      <c r="R7" s="134">
        <f>COUNTIFS(C2:C21,"OFF",I2:I21,"OFF")</f>
        <v>12</v>
      </c>
      <c r="T7" s="354"/>
      <c r="U7" s="131" t="s">
        <v>150</v>
      </c>
      <c r="V7" s="127">
        <f>COUNTIFS(F2:F21,"OFF",I2:I21,"ON")</f>
        <v>0</v>
      </c>
      <c r="W7" s="127">
        <f>COUNTIFS(F2:F21,"OFF",I2:I21,"NE")</f>
        <v>0</v>
      </c>
      <c r="X7" s="134">
        <f>COUNTIFS(F2:F21,"OFF",I2:I21,"OFF")</f>
        <v>12</v>
      </c>
      <c r="Z7" s="354"/>
      <c r="AA7" s="131" t="s">
        <v>150</v>
      </c>
      <c r="AB7" s="127">
        <f>COUNTIFS(L2:L21,"OFF",I2:I21,"ON")</f>
        <v>1</v>
      </c>
      <c r="AC7" s="127">
        <f>COUNTIFS(L2:L21,"OFF",I2:I21,"NE")</f>
        <v>0</v>
      </c>
      <c r="AD7" s="134">
        <f>COUNTIFS(L2:L21,"OFF",I2:I21,"OFF")</f>
        <v>10</v>
      </c>
    </row>
    <row r="8" spans="1:30" x14ac:dyDescent="0.3">
      <c r="A8" s="5" t="s">
        <v>118</v>
      </c>
      <c r="B8" s="6" t="s">
        <v>125</v>
      </c>
      <c r="C8" s="41" t="s">
        <v>144</v>
      </c>
      <c r="D8" s="5" t="s">
        <v>140</v>
      </c>
      <c r="E8" s="6" t="s">
        <v>125</v>
      </c>
      <c r="F8" s="41" t="s">
        <v>144</v>
      </c>
      <c r="G8" s="5" t="s">
        <v>141</v>
      </c>
      <c r="H8" s="6" t="s">
        <v>125</v>
      </c>
      <c r="I8" s="41" t="s">
        <v>144</v>
      </c>
      <c r="J8" s="5" t="s">
        <v>142</v>
      </c>
      <c r="K8" s="6" t="s">
        <v>125</v>
      </c>
      <c r="L8" s="41" t="s">
        <v>144</v>
      </c>
      <c r="N8" s="5"/>
      <c r="O8" s="6"/>
      <c r="P8" s="6"/>
      <c r="Q8" s="6"/>
      <c r="R8" s="41"/>
      <c r="T8" s="5"/>
      <c r="U8" s="6"/>
      <c r="V8" s="6"/>
      <c r="W8" s="6"/>
      <c r="X8" s="41"/>
      <c r="Z8" s="5"/>
      <c r="AA8" s="6"/>
      <c r="AB8" s="6"/>
      <c r="AC8" s="6"/>
      <c r="AD8" s="41"/>
    </row>
    <row r="9" spans="1:30" ht="14.4" customHeight="1" x14ac:dyDescent="0.3">
      <c r="A9" s="5" t="s">
        <v>118</v>
      </c>
      <c r="B9" s="6" t="s">
        <v>126</v>
      </c>
      <c r="C9" s="41" t="s">
        <v>144</v>
      </c>
      <c r="D9" s="5" t="s">
        <v>140</v>
      </c>
      <c r="E9" s="6" t="s">
        <v>126</v>
      </c>
      <c r="F9" s="41" t="s">
        <v>144</v>
      </c>
      <c r="G9" s="5" t="s">
        <v>141</v>
      </c>
      <c r="H9" s="6" t="s">
        <v>126</v>
      </c>
      <c r="I9" s="41" t="s">
        <v>144</v>
      </c>
      <c r="J9" s="5" t="s">
        <v>142</v>
      </c>
      <c r="K9" s="6" t="s">
        <v>126</v>
      </c>
      <c r="L9" s="41" t="s">
        <v>143</v>
      </c>
      <c r="N9" s="356" t="s">
        <v>155</v>
      </c>
      <c r="O9" s="357"/>
      <c r="P9" s="357"/>
      <c r="Q9" s="357"/>
      <c r="R9" s="358"/>
      <c r="T9" s="135" t="s">
        <v>155</v>
      </c>
      <c r="U9" s="69"/>
      <c r="V9" s="6"/>
      <c r="W9" s="6"/>
      <c r="X9" s="41"/>
      <c r="Z9" s="135" t="s">
        <v>155</v>
      </c>
      <c r="AA9" s="69"/>
      <c r="AB9" s="6"/>
      <c r="AC9" s="6"/>
      <c r="AD9" s="41"/>
    </row>
    <row r="10" spans="1:30" x14ac:dyDescent="0.3">
      <c r="A10" s="5" t="s">
        <v>118</v>
      </c>
      <c r="B10" s="6" t="s">
        <v>127</v>
      </c>
      <c r="C10" s="41" t="s">
        <v>143</v>
      </c>
      <c r="D10" s="5" t="s">
        <v>140</v>
      </c>
      <c r="E10" s="6" t="s">
        <v>127</v>
      </c>
      <c r="F10" s="41" t="s">
        <v>143</v>
      </c>
      <c r="G10" s="5" t="s">
        <v>141</v>
      </c>
      <c r="H10" s="6" t="s">
        <v>127</v>
      </c>
      <c r="I10" s="41" t="s">
        <v>143</v>
      </c>
      <c r="J10" s="5" t="s">
        <v>142</v>
      </c>
      <c r="K10" s="6" t="s">
        <v>127</v>
      </c>
      <c r="L10" s="41" t="s">
        <v>143</v>
      </c>
      <c r="N10" s="5"/>
      <c r="O10" s="69"/>
      <c r="P10" s="355" t="s">
        <v>151</v>
      </c>
      <c r="Q10" s="355"/>
      <c r="R10" s="41"/>
      <c r="T10" s="5"/>
      <c r="U10" s="69"/>
      <c r="V10" s="355" t="s">
        <v>151</v>
      </c>
      <c r="W10" s="355"/>
      <c r="X10" s="41"/>
      <c r="Z10" s="5"/>
      <c r="AA10" s="69"/>
      <c r="AB10" s="355" t="s">
        <v>151</v>
      </c>
      <c r="AC10" s="355"/>
      <c r="AD10" s="41"/>
    </row>
    <row r="11" spans="1:30" ht="24" x14ac:dyDescent="0.3">
      <c r="A11" s="5" t="s">
        <v>118</v>
      </c>
      <c r="B11" s="6" t="s">
        <v>128</v>
      </c>
      <c r="C11" s="41" t="s">
        <v>144</v>
      </c>
      <c r="D11" s="5" t="s">
        <v>140</v>
      </c>
      <c r="E11" s="6" t="s">
        <v>128</v>
      </c>
      <c r="F11" s="41" t="s">
        <v>144</v>
      </c>
      <c r="G11" s="5" t="s">
        <v>141</v>
      </c>
      <c r="H11" s="6" t="s">
        <v>128</v>
      </c>
      <c r="I11" s="41" t="s">
        <v>144</v>
      </c>
      <c r="J11" s="5" t="s">
        <v>142</v>
      </c>
      <c r="K11" s="6" t="s">
        <v>128</v>
      </c>
      <c r="L11" s="41" t="s">
        <v>144</v>
      </c>
      <c r="N11" s="5"/>
      <c r="O11" s="128" t="s">
        <v>157</v>
      </c>
      <c r="P11" s="132" t="s">
        <v>148</v>
      </c>
      <c r="Q11" s="132" t="s">
        <v>150</v>
      </c>
      <c r="R11" s="41"/>
      <c r="T11" s="5"/>
      <c r="U11" s="128" t="s">
        <v>157</v>
      </c>
      <c r="V11" s="132" t="s">
        <v>148</v>
      </c>
      <c r="W11" s="132" t="s">
        <v>150</v>
      </c>
      <c r="X11" s="41"/>
      <c r="Z11" s="5"/>
      <c r="AA11" s="128" t="s">
        <v>157</v>
      </c>
      <c r="AB11" s="132" t="s">
        <v>148</v>
      </c>
      <c r="AC11" s="132" t="s">
        <v>150</v>
      </c>
      <c r="AD11" s="41"/>
    </row>
    <row r="12" spans="1:30" x14ac:dyDescent="0.3">
      <c r="A12" s="5" t="s">
        <v>118</v>
      </c>
      <c r="B12" s="6" t="s">
        <v>129</v>
      </c>
      <c r="C12" s="41" t="s">
        <v>144</v>
      </c>
      <c r="D12" s="5" t="s">
        <v>140</v>
      </c>
      <c r="E12" s="6" t="s">
        <v>129</v>
      </c>
      <c r="F12" s="41" t="s">
        <v>144</v>
      </c>
      <c r="G12" s="5" t="s">
        <v>141</v>
      </c>
      <c r="H12" s="6" t="s">
        <v>129</v>
      </c>
      <c r="I12" s="41" t="s">
        <v>144</v>
      </c>
      <c r="J12" s="5" t="s">
        <v>142</v>
      </c>
      <c r="K12" s="6" t="s">
        <v>129</v>
      </c>
      <c r="L12" s="41" t="s">
        <v>146</v>
      </c>
      <c r="N12" s="354" t="s">
        <v>118</v>
      </c>
      <c r="O12" s="131" t="s">
        <v>148</v>
      </c>
      <c r="P12" s="127">
        <f>P5</f>
        <v>6</v>
      </c>
      <c r="Q12" s="127">
        <f>SUM(Q5:R5)</f>
        <v>1</v>
      </c>
      <c r="R12" s="88"/>
      <c r="T12" s="354" t="s">
        <v>140</v>
      </c>
      <c r="U12" s="131" t="s">
        <v>148</v>
      </c>
      <c r="V12" s="127">
        <f>V5</f>
        <v>7</v>
      </c>
      <c r="W12" s="127">
        <f>SUM(W5:X5)</f>
        <v>1</v>
      </c>
      <c r="X12" s="88"/>
      <c r="Z12" s="354" t="s">
        <v>142</v>
      </c>
      <c r="AA12" s="131" t="s">
        <v>148</v>
      </c>
      <c r="AB12" s="127">
        <f>AB5</f>
        <v>6</v>
      </c>
      <c r="AC12" s="127">
        <f>SUM(AC5:AD5)</f>
        <v>1</v>
      </c>
      <c r="AD12" s="88"/>
    </row>
    <row r="13" spans="1:30" x14ac:dyDescent="0.3">
      <c r="A13" s="5" t="s">
        <v>118</v>
      </c>
      <c r="B13" s="6" t="s">
        <v>130</v>
      </c>
      <c r="C13" s="41" t="s">
        <v>144</v>
      </c>
      <c r="D13" s="5" t="s">
        <v>140</v>
      </c>
      <c r="E13" s="6" t="s">
        <v>130</v>
      </c>
      <c r="F13" s="41" t="s">
        <v>144</v>
      </c>
      <c r="G13" s="5" t="s">
        <v>141</v>
      </c>
      <c r="H13" s="6" t="s">
        <v>130</v>
      </c>
      <c r="I13" s="41" t="s">
        <v>144</v>
      </c>
      <c r="J13" s="5" t="s">
        <v>142</v>
      </c>
      <c r="K13" s="6" t="s">
        <v>130</v>
      </c>
      <c r="L13" s="41" t="s">
        <v>144</v>
      </c>
      <c r="N13" s="354"/>
      <c r="O13" s="131" t="s">
        <v>150</v>
      </c>
      <c r="P13" s="127">
        <f>SUM(P6:P7)</f>
        <v>1</v>
      </c>
      <c r="Q13" s="127">
        <f>SUM(Q6:R7)</f>
        <v>12</v>
      </c>
      <c r="R13" s="88"/>
      <c r="T13" s="354"/>
      <c r="U13" s="131" t="s">
        <v>150</v>
      </c>
      <c r="V13" s="127">
        <f>SUM(V6:V7)</f>
        <v>0</v>
      </c>
      <c r="W13" s="127">
        <f>SUM(W6:X7)</f>
        <v>12</v>
      </c>
      <c r="X13" s="88"/>
      <c r="Z13" s="354"/>
      <c r="AA13" s="131" t="s">
        <v>150</v>
      </c>
      <c r="AB13" s="127">
        <f>SUM(AB6:AB7)</f>
        <v>1</v>
      </c>
      <c r="AC13" s="127">
        <f>SUM(AC6:AD7)</f>
        <v>12</v>
      </c>
      <c r="AD13" s="88"/>
    </row>
    <row r="14" spans="1:30" x14ac:dyDescent="0.3">
      <c r="A14" s="5" t="s">
        <v>118</v>
      </c>
      <c r="B14" s="6" t="s">
        <v>131</v>
      </c>
      <c r="C14" s="41" t="s">
        <v>144</v>
      </c>
      <c r="D14" s="5" t="s">
        <v>140</v>
      </c>
      <c r="E14" s="6" t="s">
        <v>131</v>
      </c>
      <c r="F14" s="41" t="s">
        <v>144</v>
      </c>
      <c r="G14" s="5" t="s">
        <v>141</v>
      </c>
      <c r="H14" s="6" t="s">
        <v>131</v>
      </c>
      <c r="I14" s="41" t="s">
        <v>144</v>
      </c>
      <c r="J14" s="5" t="s">
        <v>142</v>
      </c>
      <c r="K14" s="6" t="s">
        <v>131</v>
      </c>
      <c r="L14" s="41" t="s">
        <v>144</v>
      </c>
      <c r="N14" s="5"/>
      <c r="O14" s="6"/>
      <c r="P14" s="6"/>
      <c r="Q14" s="6"/>
      <c r="R14" s="41"/>
      <c r="T14" s="5"/>
      <c r="U14" s="6"/>
      <c r="V14" s="6"/>
      <c r="W14" s="6"/>
      <c r="X14" s="41"/>
      <c r="Z14" s="5"/>
      <c r="AA14" s="6"/>
      <c r="AB14" s="6"/>
      <c r="AC14" s="6"/>
      <c r="AD14" s="41"/>
    </row>
    <row r="15" spans="1:30" ht="36" x14ac:dyDescent="0.3">
      <c r="A15" s="5" t="s">
        <v>118</v>
      </c>
      <c r="B15" s="6" t="s">
        <v>132</v>
      </c>
      <c r="C15" s="41" t="s">
        <v>144</v>
      </c>
      <c r="D15" s="5" t="s">
        <v>140</v>
      </c>
      <c r="E15" s="6" t="s">
        <v>132</v>
      </c>
      <c r="F15" s="41" t="s">
        <v>144</v>
      </c>
      <c r="G15" s="5" t="s">
        <v>141</v>
      </c>
      <c r="H15" s="6" t="s">
        <v>132</v>
      </c>
      <c r="I15" s="41" t="s">
        <v>144</v>
      </c>
      <c r="J15" s="5" t="s">
        <v>142</v>
      </c>
      <c r="K15" s="6" t="s">
        <v>132</v>
      </c>
      <c r="L15" s="41" t="s">
        <v>144</v>
      </c>
      <c r="N15" s="136" t="s">
        <v>1</v>
      </c>
      <c r="O15" s="129" t="s">
        <v>84</v>
      </c>
      <c r="P15" s="132" t="s">
        <v>158</v>
      </c>
      <c r="Q15" s="132" t="s">
        <v>159</v>
      </c>
      <c r="R15" s="41"/>
      <c r="T15" s="136" t="s">
        <v>24</v>
      </c>
      <c r="U15" s="129" t="s">
        <v>84</v>
      </c>
      <c r="V15" s="132" t="s">
        <v>158</v>
      </c>
      <c r="W15" s="132" t="s">
        <v>159</v>
      </c>
      <c r="X15" s="41"/>
      <c r="Z15" s="136" t="s">
        <v>10</v>
      </c>
      <c r="AA15" s="129" t="s">
        <v>84</v>
      </c>
      <c r="AB15" s="132" t="s">
        <v>158</v>
      </c>
      <c r="AC15" s="132" t="s">
        <v>159</v>
      </c>
      <c r="AD15" s="41"/>
    </row>
    <row r="16" spans="1:30" x14ac:dyDescent="0.3">
      <c r="A16" s="5" t="s">
        <v>118</v>
      </c>
      <c r="B16" s="6" t="s">
        <v>133</v>
      </c>
      <c r="C16" s="41" t="s">
        <v>144</v>
      </c>
      <c r="D16" s="5" t="s">
        <v>140</v>
      </c>
      <c r="E16" s="6" t="s">
        <v>133</v>
      </c>
      <c r="F16" s="41" t="s">
        <v>144</v>
      </c>
      <c r="G16" s="5" t="s">
        <v>141</v>
      </c>
      <c r="H16" s="6" t="s">
        <v>133</v>
      </c>
      <c r="I16" s="41" t="s">
        <v>144</v>
      </c>
      <c r="J16" s="5" t="s">
        <v>142</v>
      </c>
      <c r="K16" s="6" t="s">
        <v>133</v>
      </c>
      <c r="L16" s="41" t="s">
        <v>144</v>
      </c>
      <c r="N16" s="137" t="s">
        <v>152</v>
      </c>
      <c r="O16" s="130">
        <f>Q13/SUM(Q12:Q13)</f>
        <v>0.92307692307692313</v>
      </c>
      <c r="P16" s="130">
        <f>((2*Q13+NORMSINV(0.975)^2)-(NORMSINV(0.975)*SQRT(NORMSINV(0.975)^2+(4*Q12*Q13)/(Q12+Q13))))/(2*(Q12+Q13+NORMSINV(0.975)^2))</f>
        <v>0.66686049078900411</v>
      </c>
      <c r="Q16" s="130">
        <f>((2*Q13+NORMSINV(0.975)^2)+(NORMSINV(0.975)*SQRT(NORMSINV(0.975)^2+(4*Q12*Q13)/(Q12+Q13))))/(2*(Q12+Q13+NORMSINV(0.975)^2))</f>
        <v>0.9862895787574435</v>
      </c>
      <c r="R16" s="41"/>
      <c r="T16" s="137" t="s">
        <v>152</v>
      </c>
      <c r="U16" s="130">
        <f>W13/SUM(W12:W13)</f>
        <v>0.92307692307692313</v>
      </c>
      <c r="V16" s="130">
        <f>((2*W13+NORMSINV(0.975)^2)-(NORMSINV(0.975)*SQRT(NORMSINV(0.975)^2+(4*W12*W13)/(W12+W13))))/(2*(W12+W13+NORMSINV(0.975)^2))</f>
        <v>0.66686049078900411</v>
      </c>
      <c r="W16" s="130">
        <f>((2*W13+NORMSINV(0.975)^2)+(NORMSINV(0.975)*SQRT(NORMSINV(0.975)^2+(4*W12*W13)/(W12+W13))))/(2*(W12+W13+NORMSINV(0.975)^2))</f>
        <v>0.9862895787574435</v>
      </c>
      <c r="X16" s="41"/>
      <c r="Z16" s="137" t="s">
        <v>152</v>
      </c>
      <c r="AA16" s="130">
        <f>AC13/SUM(AC12:AC13)</f>
        <v>0.92307692307692313</v>
      </c>
      <c r="AB16" s="130">
        <f>((2*AC13+NORMSINV(0.975)^2)-(NORMSINV(0.975)*SQRT(NORMSINV(0.975)^2+(4*AC12*AC13)/(AC12+AC13))))/(2*(AC12+AC13+NORMSINV(0.975)^2))</f>
        <v>0.66686049078900411</v>
      </c>
      <c r="AC16" s="130">
        <f>((2*AC13+NORMSINV(0.975)^2)+(NORMSINV(0.975)*SQRT(NORMSINV(0.975)^2+(4*AC12*AC13)/(AC12+AC13))))/(2*(AC12+AC13+NORMSINV(0.975)^2))</f>
        <v>0.9862895787574435</v>
      </c>
      <c r="AD16" s="41"/>
    </row>
    <row r="17" spans="1:30" x14ac:dyDescent="0.3">
      <c r="A17" s="5" t="s">
        <v>118</v>
      </c>
      <c r="B17" s="6" t="s">
        <v>134</v>
      </c>
      <c r="C17" s="41" t="s">
        <v>143</v>
      </c>
      <c r="D17" s="5" t="s">
        <v>140</v>
      </c>
      <c r="E17" s="6" t="s">
        <v>134</v>
      </c>
      <c r="F17" s="41" t="s">
        <v>143</v>
      </c>
      <c r="G17" s="5" t="s">
        <v>141</v>
      </c>
      <c r="H17" s="6" t="s">
        <v>134</v>
      </c>
      <c r="I17" s="41" t="s">
        <v>143</v>
      </c>
      <c r="J17" s="5" t="s">
        <v>142</v>
      </c>
      <c r="K17" s="6" t="s">
        <v>134</v>
      </c>
      <c r="L17" s="41" t="s">
        <v>143</v>
      </c>
      <c r="N17" s="137" t="s">
        <v>153</v>
      </c>
      <c r="O17" s="130">
        <f>P12/SUM(P12:P13)</f>
        <v>0.8571428571428571</v>
      </c>
      <c r="P17" s="130">
        <f>((2*P12+NORMSINV(0.975)^2)-(NORMSINV(0.975)*SQRT(NORMSINV(0.975)^2+(4*P12*P13)/(P12+P13))))/(2*(P12+P13+NORMSINV(0.975)^2))</f>
        <v>0.48687217072568117</v>
      </c>
      <c r="Q17" s="130">
        <f>((2*P12+NORMSINV(0.975)^2)+(NORMSINV(0.975)*SQRT(NORMSINV(0.975)^2+(4*P12*P13)/(P12+P13))))/(2*(P12+P13+NORMSINV(0.975)^2))</f>
        <v>0.97432037565525653</v>
      </c>
      <c r="R17" s="41"/>
      <c r="T17" s="137" t="s">
        <v>153</v>
      </c>
      <c r="U17" s="130">
        <f>V12/SUM(V12:V13)</f>
        <v>1</v>
      </c>
      <c r="V17" s="130">
        <f>((2*V12+NORMSINV(0.975)^2)-(NORMSINV(0.975)*SQRT(NORMSINV(0.975)^2+(4*V12*V13)/(V12+V13))))/(2*(V12+V13+NORMSINV(0.975)^2))</f>
        <v>0.64566956493331262</v>
      </c>
      <c r="W17" s="130">
        <f>((2*V12+NORMSINV(0.975)^2)+(NORMSINV(0.975)*SQRT(NORMSINV(0.975)^2+(4*V12*V13)/(V12+V13))))/(2*(V12+V13+NORMSINV(0.975)^2))</f>
        <v>0.99999999999999989</v>
      </c>
      <c r="X17" s="41"/>
      <c r="Z17" s="137" t="s">
        <v>153</v>
      </c>
      <c r="AA17" s="130">
        <f>AB12/SUM(AB12:AB13)</f>
        <v>0.8571428571428571</v>
      </c>
      <c r="AB17" s="130">
        <f>((2*AB12+NORMSINV(0.975)^2)-(NORMSINV(0.975)*SQRT(NORMSINV(0.975)^2+(4*AB12*AB13)/(AB12+AB13))))/(2*(AB12+AB13+NORMSINV(0.975)^2))</f>
        <v>0.48687217072568117</v>
      </c>
      <c r="AC17" s="130">
        <f>((2*AB12+NORMSINV(0.975)^2)+(NORMSINV(0.975)*SQRT(NORMSINV(0.975)^2+(4*AB12*AB13)/(AB12+AB13))))/(2*(AB12+AB13+NORMSINV(0.975)^2))</f>
        <v>0.97432037565525653</v>
      </c>
      <c r="AD17" s="41"/>
    </row>
    <row r="18" spans="1:30" x14ac:dyDescent="0.3">
      <c r="A18" s="5" t="s">
        <v>118</v>
      </c>
      <c r="B18" s="6" t="s">
        <v>135</v>
      </c>
      <c r="C18" s="41" t="s">
        <v>144</v>
      </c>
      <c r="D18" s="5" t="s">
        <v>140</v>
      </c>
      <c r="E18" s="6" t="s">
        <v>135</v>
      </c>
      <c r="F18" s="41" t="s">
        <v>144</v>
      </c>
      <c r="G18" s="5" t="s">
        <v>141</v>
      </c>
      <c r="H18" s="6" t="s">
        <v>135</v>
      </c>
      <c r="I18" s="41" t="s">
        <v>144</v>
      </c>
      <c r="J18" s="5" t="s">
        <v>142</v>
      </c>
      <c r="K18" s="6" t="s">
        <v>135</v>
      </c>
      <c r="L18" s="41" t="s">
        <v>144</v>
      </c>
      <c r="N18" s="137" t="s">
        <v>154</v>
      </c>
      <c r="O18" s="130">
        <f>SUM(P12,Q13)/SUM(P12:Q13)</f>
        <v>0.9</v>
      </c>
      <c r="P18" s="130">
        <f>((2*(P12+Q13)+NORMSINV(0.975)^2)-(NORMSINV(0.975)*SQRT(NORMSINV(0.975)^2+(4*(P12+Q13)*(Q12+P13))/SUM(P12:Q13))))/(2*(SUM(P12:Q13)+NORMSINV(0.975)^2))</f>
        <v>0.69896635477151281</v>
      </c>
      <c r="Q18" s="130">
        <f>((2*(P12+Q13)+NORMSINV(0.975)^2)+(NORMSINV(0.975)*SQRT(NORMSINV(0.975)^2+(4*(P12+Q13)*(Q12+P13))/SUM(P12:Q13))))/(2*(SUM(P12:Q13)+NORMSINV(0.975)^2))</f>
        <v>0.97213351878623178</v>
      </c>
      <c r="R18" s="41"/>
      <c r="T18" s="137" t="s">
        <v>154</v>
      </c>
      <c r="U18" s="130">
        <f>SUM(V12,W13)/SUM(V12:W13)</f>
        <v>0.95</v>
      </c>
      <c r="V18" s="130">
        <f>((2*(V12+W13)+NORMSINV(0.975)^2)-(NORMSINV(0.975)*SQRT(NORMSINV(0.975)^2+(4*(V12+W13)*(W12+V13))/SUM(V12:W13))))/(2*(SUM(V12:W13)+NORMSINV(0.975)^2))</f>
        <v>0.76386880655325806</v>
      </c>
      <c r="W18" s="130">
        <f>((2*(V12+W13)+NORMSINV(0.975)^2)+(NORMSINV(0.975)*SQRT(NORMSINV(0.975)^2+(4*(V12+W13)*(W12+V13))/SUM(V12:W13))))/(2*(SUM(V12:W13)+NORMSINV(0.975)^2))</f>
        <v>0.99111855119920467</v>
      </c>
      <c r="X18" s="41"/>
      <c r="Z18" s="137" t="s">
        <v>154</v>
      </c>
      <c r="AA18" s="130">
        <f>SUM(AB12,AC13)/SUM(AB12:AC13)</f>
        <v>0.9</v>
      </c>
      <c r="AB18" s="130">
        <f>((2*(AB12+AC13)+NORMSINV(0.975)^2)-(NORMSINV(0.975)*SQRT(NORMSINV(0.975)^2+(4*(AB12+AC13)*(AC12+AB13))/SUM(AB12:AC13))))/(2*(SUM(AB12:AC13)+NORMSINV(0.975)^2))</f>
        <v>0.69896635477151281</v>
      </c>
      <c r="AC18" s="130">
        <f>((2*(AB12+AC13)+NORMSINV(0.975)^2)+(NORMSINV(0.975)*SQRT(NORMSINV(0.975)^2+(4*(AB12+AC13)*(AC12+AB13))/SUM(AB12:AC13))))/(2*(SUM(AB12:AC13)+NORMSINV(0.975)^2))</f>
        <v>0.97213351878623178</v>
      </c>
      <c r="AD18" s="41"/>
    </row>
    <row r="19" spans="1:30" x14ac:dyDescent="0.3">
      <c r="A19" s="5" t="s">
        <v>118</v>
      </c>
      <c r="B19" s="6" t="s">
        <v>136</v>
      </c>
      <c r="C19" s="41" t="s">
        <v>144</v>
      </c>
      <c r="D19" s="5" t="s">
        <v>140</v>
      </c>
      <c r="E19" s="6" t="s">
        <v>136</v>
      </c>
      <c r="F19" s="41" t="s">
        <v>144</v>
      </c>
      <c r="G19" s="5" t="s">
        <v>141</v>
      </c>
      <c r="H19" s="6" t="s">
        <v>136</v>
      </c>
      <c r="I19" s="41" t="s">
        <v>144</v>
      </c>
      <c r="J19" s="5" t="s">
        <v>142</v>
      </c>
      <c r="K19" s="6" t="s">
        <v>136</v>
      </c>
      <c r="L19" s="41" t="s">
        <v>144</v>
      </c>
      <c r="N19" s="5"/>
      <c r="O19" s="6"/>
      <c r="P19" s="6"/>
      <c r="Q19" s="6"/>
      <c r="R19" s="41"/>
      <c r="T19" s="5"/>
      <c r="U19" s="6"/>
      <c r="V19" s="6"/>
      <c r="W19" s="6"/>
      <c r="X19" s="41"/>
      <c r="Z19" s="5"/>
      <c r="AA19" s="6"/>
      <c r="AB19" s="6"/>
      <c r="AC19" s="6"/>
      <c r="AD19" s="41"/>
    </row>
    <row r="20" spans="1:30" ht="33" customHeight="1" x14ac:dyDescent="0.3">
      <c r="A20" s="5" t="s">
        <v>118</v>
      </c>
      <c r="B20" s="6" t="s">
        <v>137</v>
      </c>
      <c r="C20" s="41" t="s">
        <v>144</v>
      </c>
      <c r="D20" s="5" t="s">
        <v>140</v>
      </c>
      <c r="E20" s="6" t="s">
        <v>137</v>
      </c>
      <c r="F20" s="41" t="s">
        <v>144</v>
      </c>
      <c r="G20" s="5" t="s">
        <v>141</v>
      </c>
      <c r="H20" s="6" t="s">
        <v>137</v>
      </c>
      <c r="I20" s="41" t="s">
        <v>144</v>
      </c>
      <c r="J20" s="5" t="s">
        <v>142</v>
      </c>
      <c r="K20" s="6" t="s">
        <v>137</v>
      </c>
      <c r="L20" s="41" t="s">
        <v>144</v>
      </c>
      <c r="N20" s="356" t="s">
        <v>160</v>
      </c>
      <c r="O20" s="357"/>
      <c r="P20" s="357"/>
      <c r="Q20" s="357"/>
      <c r="R20" s="358"/>
      <c r="T20" s="351" t="s">
        <v>160</v>
      </c>
      <c r="U20" s="352"/>
      <c r="V20" s="352"/>
      <c r="W20" s="352"/>
      <c r="X20" s="353"/>
      <c r="Z20" s="351" t="s">
        <v>160</v>
      </c>
      <c r="AA20" s="352"/>
      <c r="AB20" s="352"/>
      <c r="AC20" s="352"/>
      <c r="AD20" s="353"/>
    </row>
    <row r="21" spans="1:30" ht="15" thickBot="1" x14ac:dyDescent="0.35">
      <c r="A21" s="9" t="s">
        <v>118</v>
      </c>
      <c r="B21" s="10" t="s">
        <v>138</v>
      </c>
      <c r="C21" s="42" t="s">
        <v>144</v>
      </c>
      <c r="D21" s="9" t="s">
        <v>140</v>
      </c>
      <c r="E21" s="10" t="s">
        <v>138</v>
      </c>
      <c r="F21" s="42" t="s">
        <v>144</v>
      </c>
      <c r="G21" s="9" t="s">
        <v>141</v>
      </c>
      <c r="H21" s="10" t="s">
        <v>138</v>
      </c>
      <c r="I21" s="42" t="s">
        <v>144</v>
      </c>
      <c r="J21" s="9" t="s">
        <v>142</v>
      </c>
      <c r="K21" s="10" t="s">
        <v>138</v>
      </c>
      <c r="L21" s="42" t="s">
        <v>144</v>
      </c>
      <c r="N21" s="5"/>
      <c r="O21" s="69"/>
      <c r="P21" s="359" t="s">
        <v>151</v>
      </c>
      <c r="Q21" s="360"/>
      <c r="R21" s="41"/>
      <c r="T21" s="5"/>
      <c r="U21" s="69"/>
      <c r="V21" s="359" t="s">
        <v>151</v>
      </c>
      <c r="W21" s="360"/>
      <c r="X21" s="41"/>
      <c r="Z21" s="5"/>
      <c r="AA21" s="69"/>
      <c r="AB21" s="359" t="s">
        <v>151</v>
      </c>
      <c r="AC21" s="360"/>
      <c r="AD21" s="41"/>
    </row>
    <row r="22" spans="1:30" ht="24" x14ac:dyDescent="0.3">
      <c r="N22" s="5"/>
      <c r="O22" s="128" t="s">
        <v>157</v>
      </c>
      <c r="P22" s="132" t="s">
        <v>148</v>
      </c>
      <c r="Q22" s="132" t="s">
        <v>150</v>
      </c>
      <c r="R22" s="41"/>
      <c r="T22" s="5"/>
      <c r="U22" s="128" t="s">
        <v>157</v>
      </c>
      <c r="V22" s="132" t="s">
        <v>148</v>
      </c>
      <c r="W22" s="132" t="s">
        <v>150</v>
      </c>
      <c r="X22" s="41"/>
      <c r="Z22" s="5"/>
      <c r="AA22" s="128" t="s">
        <v>157</v>
      </c>
      <c r="AB22" s="132" t="s">
        <v>148</v>
      </c>
      <c r="AC22" s="132" t="s">
        <v>150</v>
      </c>
      <c r="AD22" s="41"/>
    </row>
    <row r="23" spans="1:30" x14ac:dyDescent="0.3">
      <c r="B23" s="6"/>
      <c r="E23" s="6"/>
      <c r="N23" s="354" t="s">
        <v>118</v>
      </c>
      <c r="O23" s="131" t="s">
        <v>148</v>
      </c>
      <c r="P23" s="127">
        <f>SUM(P5:Q6)</f>
        <v>8</v>
      </c>
      <c r="Q23" s="127">
        <f>SUM(R5:R6)</f>
        <v>0</v>
      </c>
      <c r="R23" s="41"/>
      <c r="T23" s="354" t="s">
        <v>140</v>
      </c>
      <c r="U23" s="131" t="s">
        <v>148</v>
      </c>
      <c r="V23" s="127">
        <f>SUM(V5:W6)</f>
        <v>8</v>
      </c>
      <c r="W23" s="127">
        <f>SUM(X5:X6)</f>
        <v>0</v>
      </c>
      <c r="X23" s="41"/>
      <c r="Z23" s="354" t="s">
        <v>142</v>
      </c>
      <c r="AA23" s="131" t="s">
        <v>148</v>
      </c>
      <c r="AB23" s="127">
        <f>SUM(AB5:AC6)</f>
        <v>7</v>
      </c>
      <c r="AC23" s="127">
        <f>SUM(AD5:AD6)</f>
        <v>2</v>
      </c>
      <c r="AD23" s="41"/>
    </row>
    <row r="24" spans="1:30" x14ac:dyDescent="0.3">
      <c r="B24" s="6"/>
      <c r="E24" s="6"/>
      <c r="H24" s="6"/>
      <c r="I24" s="6"/>
      <c r="N24" s="354"/>
      <c r="O24" s="131" t="s">
        <v>150</v>
      </c>
      <c r="P24" s="127">
        <f>SUM(P7:Q7)</f>
        <v>0</v>
      </c>
      <c r="Q24" s="127">
        <f>R7</f>
        <v>12</v>
      </c>
      <c r="R24" s="41"/>
      <c r="T24" s="354"/>
      <c r="U24" s="131" t="s">
        <v>150</v>
      </c>
      <c r="V24" s="127">
        <f>SUM(V7:W7)</f>
        <v>0</v>
      </c>
      <c r="W24" s="127">
        <f>X7</f>
        <v>12</v>
      </c>
      <c r="X24" s="41"/>
      <c r="Z24" s="354"/>
      <c r="AA24" s="131" t="s">
        <v>150</v>
      </c>
      <c r="AB24" s="127">
        <f>SUM(AB7:AC7)</f>
        <v>1</v>
      </c>
      <c r="AC24" s="127">
        <f>AD7</f>
        <v>10</v>
      </c>
      <c r="AD24" s="41"/>
    </row>
    <row r="25" spans="1:30" x14ac:dyDescent="0.3">
      <c r="H25" s="6"/>
      <c r="I25" s="6"/>
      <c r="N25" s="5"/>
      <c r="O25" s="6"/>
      <c r="P25" s="6"/>
      <c r="Q25" s="6"/>
      <c r="R25" s="41"/>
      <c r="T25" s="5"/>
      <c r="U25" s="6"/>
      <c r="V25" s="6"/>
      <c r="W25" s="6"/>
      <c r="X25" s="41"/>
      <c r="Z25" s="5"/>
      <c r="AA25" s="6"/>
      <c r="AB25" s="6"/>
      <c r="AC25" s="6"/>
      <c r="AD25" s="41"/>
    </row>
    <row r="26" spans="1:30" ht="36" x14ac:dyDescent="0.3">
      <c r="H26" s="6"/>
      <c r="I26" s="6"/>
      <c r="N26" s="136" t="s">
        <v>1</v>
      </c>
      <c r="O26" s="129" t="s">
        <v>84</v>
      </c>
      <c r="P26" s="132" t="s">
        <v>158</v>
      </c>
      <c r="Q26" s="132" t="s">
        <v>159</v>
      </c>
      <c r="R26" s="41"/>
      <c r="T26" s="136" t="s">
        <v>24</v>
      </c>
      <c r="U26" s="129" t="s">
        <v>84</v>
      </c>
      <c r="V26" s="132" t="s">
        <v>158</v>
      </c>
      <c r="W26" s="132" t="s">
        <v>159</v>
      </c>
      <c r="X26" s="41"/>
      <c r="Z26" s="136" t="s">
        <v>10</v>
      </c>
      <c r="AA26" s="129" t="s">
        <v>84</v>
      </c>
      <c r="AB26" s="132" t="s">
        <v>158</v>
      </c>
      <c r="AC26" s="132" t="s">
        <v>159</v>
      </c>
      <c r="AD26" s="41"/>
    </row>
    <row r="27" spans="1:30" x14ac:dyDescent="0.3">
      <c r="H27" s="6"/>
      <c r="I27" s="6"/>
      <c r="N27" s="137" t="s">
        <v>152</v>
      </c>
      <c r="O27" s="130">
        <f>Q24/SUM(Q23:Q24)</f>
        <v>1</v>
      </c>
      <c r="P27" s="130">
        <f>((2*Q24+NORMSINV(0.975)^2)-(NORMSINV(0.975)*SQRT(NORMSINV(0.975)^2+(4*Q23*Q24)/(Q23+Q24))))/(2*(Q23+Q24+NORMSINV(0.975)^2))</f>
        <v>0.75750599334475921</v>
      </c>
      <c r="Q27" s="130">
        <f>((2*Q24+NORMSINV(0.975)^2)+(NORMSINV(0.975)*SQRT(NORMSINV(0.975)^2+(4*Q23*Q24)/(Q23+Q24))))/(2*(Q23+Q24+NORMSINV(0.975)^2))</f>
        <v>0.99999999999999989</v>
      </c>
      <c r="R27" s="41"/>
      <c r="T27" s="137" t="s">
        <v>152</v>
      </c>
      <c r="U27" s="130">
        <f>W24/SUM(W23:W24)</f>
        <v>1</v>
      </c>
      <c r="V27" s="130">
        <f>((2*W24+NORMSINV(0.975)^2)-(NORMSINV(0.975)*SQRT(NORMSINV(0.975)^2+(4*W23*W24)/(W23+W24))))/(2*(W23+W24+NORMSINV(0.975)^2))</f>
        <v>0.75750599334475921</v>
      </c>
      <c r="W27" s="130">
        <f>((2*W24+NORMSINV(0.975)^2)+(NORMSINV(0.975)*SQRT(NORMSINV(0.975)^2+(4*W23*W24)/(W23+W24))))/(2*(W23+W24+NORMSINV(0.975)^2))</f>
        <v>0.99999999999999989</v>
      </c>
      <c r="X27" s="41"/>
      <c r="Z27" s="137" t="s">
        <v>152</v>
      </c>
      <c r="AA27" s="130">
        <f>AC24/SUM(AC23:AC24)</f>
        <v>0.83333333333333337</v>
      </c>
      <c r="AB27" s="130">
        <f>((2*AC24+NORMSINV(0.975)^2)-(NORMSINV(0.975)*SQRT(NORMSINV(0.975)^2+(4*AC23*AC24)/(AC23+AC24))))/(2*(AC23+AC24+NORMSINV(0.975)^2))</f>
        <v>0.55196913774702672</v>
      </c>
      <c r="AC27" s="130">
        <f>((2*AC24+NORMSINV(0.975)^2)+(NORMSINV(0.975)*SQRT(NORMSINV(0.975)^2+(4*AC23*AC24)/(AC23+AC24))))/(2*(AC23+AC24+NORMSINV(0.975)^2))</f>
        <v>0.95303485781614605</v>
      </c>
      <c r="AD27" s="41"/>
    </row>
    <row r="28" spans="1:30" x14ac:dyDescent="0.3">
      <c r="H28" s="6"/>
      <c r="I28" s="6"/>
      <c r="N28" s="137" t="s">
        <v>153</v>
      </c>
      <c r="O28" s="130">
        <f>P23/SUM(P23:P24)</f>
        <v>1</v>
      </c>
      <c r="P28" s="130">
        <f>((2*P23+NORMSINV(0.975)^2)-(NORMSINV(0.975)*SQRT(NORMSINV(0.975)^2+(4*P23*P24)/(P23+P24))))/(2*(P23+P24+NORMSINV(0.975)^2))</f>
        <v>0.67559243511611977</v>
      </c>
      <c r="Q28" s="130">
        <f>((2*P23+NORMSINV(0.975)^2)+(NORMSINV(0.975)*SQRT(NORMSINV(0.975)^2+(4*P23*P24)/(P23+P24))))/(2*(P23+P24+NORMSINV(0.975)^2))</f>
        <v>0.99999999999999989</v>
      </c>
      <c r="R28" s="41"/>
      <c r="T28" s="137" t="s">
        <v>153</v>
      </c>
      <c r="U28" s="130">
        <f>V23/SUM(V23:V24)</f>
        <v>1</v>
      </c>
      <c r="V28" s="130">
        <f>((2*V23+NORMSINV(0.975)^2)-(NORMSINV(0.975)*SQRT(NORMSINV(0.975)^2+(4*V23*V24)/(V23+V24))))/(2*(V23+V24+NORMSINV(0.975)^2))</f>
        <v>0.67559243511611977</v>
      </c>
      <c r="W28" s="130">
        <f>((2*V23+NORMSINV(0.975)^2)+(NORMSINV(0.975)*SQRT(NORMSINV(0.975)^2+(4*V23*V24)/(V23+V24))))/(2*(V23+V24+NORMSINV(0.975)^2))</f>
        <v>0.99999999999999989</v>
      </c>
      <c r="X28" s="41"/>
      <c r="Z28" s="137" t="s">
        <v>153</v>
      </c>
      <c r="AA28" s="130">
        <f>AB23/SUM(AB23:AB24)</f>
        <v>0.875</v>
      </c>
      <c r="AB28" s="130">
        <f>((2*AB23+NORMSINV(0.975)^2)-(NORMSINV(0.975)*SQRT(NORMSINV(0.975)^2+(4*AB23*AB24)/(AB23+AB24))))/(2*(AB23+AB24+NORMSINV(0.975)^2))</f>
        <v>0.52911181778714644</v>
      </c>
      <c r="AC28" s="130">
        <f>((2*AB23+NORMSINV(0.975)^2)+(NORMSINV(0.975)*SQRT(NORMSINV(0.975)^2+(4*AB23*AB24)/(AB23+AB24))))/(2*(AB23+AB24+NORMSINV(0.975)^2))</f>
        <v>0.97758250854994333</v>
      </c>
      <c r="AD28" s="41"/>
    </row>
    <row r="29" spans="1:30" ht="15" thickBot="1" x14ac:dyDescent="0.35">
      <c r="H29" s="6"/>
      <c r="I29" s="6"/>
      <c r="N29" s="138" t="s">
        <v>154</v>
      </c>
      <c r="O29" s="139">
        <f>SUM(P23,Q24)/SUM(P23:Q24)</f>
        <v>1</v>
      </c>
      <c r="P29" s="139">
        <f>((2*(P23+Q24)+NORMSINV(0.975)^2)-(NORMSINV(0.975)*SQRT(NORMSINV(0.975)^2+(4*(P23+Q24)*(Q23+P24))/SUM(P23:Q24))))/(2*(SUM(P23:Q24)+NORMSINV(0.975)^2))</f>
        <v>0.83887484194718076</v>
      </c>
      <c r="Q29" s="139">
        <f>((2*(P23+Q24)+NORMSINV(0.975)^2)+(NORMSINV(0.975)*SQRT(NORMSINV(0.975)^2+(4*(P23+Q24)*(Q23+P24))/SUM(P23:Q24))))/(2*(SUM(P23:Q24)+NORMSINV(0.975)^2))</f>
        <v>1</v>
      </c>
      <c r="R29" s="42"/>
      <c r="T29" s="138" t="s">
        <v>154</v>
      </c>
      <c r="U29" s="139">
        <f>SUM(V23,W24)/SUM(V23:W24)</f>
        <v>1</v>
      </c>
      <c r="V29" s="139">
        <f>((2*(V23+W24)+NORMSINV(0.975)^2)-(NORMSINV(0.975)*SQRT(NORMSINV(0.975)^2+(4*(V23+W24)*(W23+V24))/SUM(V23:W24))))/(2*(SUM(V23:W24)+NORMSINV(0.975)^2))</f>
        <v>0.83887484194718076</v>
      </c>
      <c r="W29" s="139">
        <f>((2*(V23+W24)+NORMSINV(0.975)^2)+(NORMSINV(0.975)*SQRT(NORMSINV(0.975)^2+(4*(V23+W24)*(W23+V24))/SUM(V23:W24))))/(2*(SUM(V23:W24)+NORMSINV(0.975)^2))</f>
        <v>1</v>
      </c>
      <c r="X29" s="42"/>
      <c r="Z29" s="138" t="s">
        <v>154</v>
      </c>
      <c r="AA29" s="139">
        <f>SUM(AB23,AC24)/SUM(AB23:AC24)</f>
        <v>0.85</v>
      </c>
      <c r="AB29" s="139">
        <f>((2*(AB23+AC24)+NORMSINV(0.975)^2)-(NORMSINV(0.975)*SQRT(NORMSINV(0.975)^2+(4*(AB23+AC24)*(AC23+AB24))/SUM(AB23:AC24))))/(2*(SUM(AB23:AC24)+NORMSINV(0.975)^2))</f>
        <v>0.63958113525924309</v>
      </c>
      <c r="AC29" s="139">
        <f>((2*(AB23+AC24)+NORMSINV(0.975)^2)+(NORMSINV(0.975)*SQRT(NORMSINV(0.975)^2+(4*(AB23+AC24)*(AC23+AB24))/SUM(AB23:AC24))))/(2*(SUM(AB23:AC24)+NORMSINV(0.975)^2))</f>
        <v>0.94763125410378335</v>
      </c>
      <c r="AD29" s="42"/>
    </row>
    <row r="30" spans="1:30" x14ac:dyDescent="0.3">
      <c r="H30" s="6"/>
      <c r="I30" s="6"/>
    </row>
    <row r="31" spans="1:30" ht="15" thickBot="1" x14ac:dyDescent="0.35">
      <c r="H31" s="6"/>
      <c r="I31" s="6"/>
      <c r="N31" s="18" t="s">
        <v>162</v>
      </c>
      <c r="O31" s="6"/>
      <c r="R31" s="6"/>
      <c r="T31" s="18" t="s">
        <v>162</v>
      </c>
      <c r="U31" s="6"/>
      <c r="X31" s="6"/>
      <c r="Z31" s="18" t="s">
        <v>162</v>
      </c>
      <c r="AA31" s="6"/>
      <c r="AD31" s="6"/>
    </row>
    <row r="32" spans="1:30" x14ac:dyDescent="0.3">
      <c r="B32" s="6"/>
      <c r="E32" s="6"/>
      <c r="H32" s="6"/>
      <c r="I32" s="6"/>
      <c r="N32" s="3"/>
      <c r="O32" s="4"/>
      <c r="P32" s="349" t="s">
        <v>140</v>
      </c>
      <c r="Q32" s="349"/>
      <c r="R32" s="350"/>
      <c r="T32" s="3"/>
      <c r="U32" s="4"/>
      <c r="V32" s="349" t="s">
        <v>140</v>
      </c>
      <c r="W32" s="349"/>
      <c r="X32" s="350"/>
      <c r="Z32" s="3"/>
      <c r="AA32" s="4"/>
      <c r="AB32" s="349" t="s">
        <v>140</v>
      </c>
      <c r="AC32" s="349"/>
      <c r="AD32" s="350"/>
    </row>
    <row r="33" spans="2:30" ht="24" x14ac:dyDescent="0.3">
      <c r="B33" s="6"/>
      <c r="E33" s="6"/>
      <c r="H33" s="6"/>
      <c r="I33" s="6"/>
      <c r="N33" s="5"/>
      <c r="O33" s="128" t="s">
        <v>156</v>
      </c>
      <c r="P33" s="132" t="s">
        <v>148</v>
      </c>
      <c r="Q33" s="132" t="s">
        <v>149</v>
      </c>
      <c r="R33" s="133" t="s">
        <v>150</v>
      </c>
      <c r="T33" s="5"/>
      <c r="U33" s="128" t="s">
        <v>156</v>
      </c>
      <c r="V33" s="132" t="s">
        <v>148</v>
      </c>
      <c r="W33" s="132" t="s">
        <v>149</v>
      </c>
      <c r="X33" s="133" t="s">
        <v>150</v>
      </c>
      <c r="Z33" s="5"/>
      <c r="AA33" s="128" t="s">
        <v>156</v>
      </c>
      <c r="AB33" s="132" t="s">
        <v>148</v>
      </c>
      <c r="AC33" s="132" t="s">
        <v>149</v>
      </c>
      <c r="AD33" s="133" t="s">
        <v>150</v>
      </c>
    </row>
    <row r="34" spans="2:30" x14ac:dyDescent="0.3">
      <c r="B34" s="6"/>
      <c r="E34" s="6"/>
      <c r="H34" s="6"/>
      <c r="I34" s="6"/>
      <c r="N34" s="354" t="s">
        <v>118</v>
      </c>
      <c r="O34" s="131" t="s">
        <v>148</v>
      </c>
      <c r="P34" s="127">
        <f>COUNTIFS(C2:C21,"ON",F2:F21,"ON")</f>
        <v>7</v>
      </c>
      <c r="Q34" s="127">
        <f>COUNTIFS(C2:C21,"ON",F2:F21,"NE")</f>
        <v>0</v>
      </c>
      <c r="R34" s="134">
        <f>COUNTIFS(C2:C21,"ON",F2:F21,"OFF")</f>
        <v>0</v>
      </c>
      <c r="T34" s="354" t="s">
        <v>141</v>
      </c>
      <c r="U34" s="131" t="s">
        <v>148</v>
      </c>
      <c r="V34" s="127">
        <f>COUNTIFS(I2:I21,"ON",F2:F21,"ON")</f>
        <v>7</v>
      </c>
      <c r="W34" s="127">
        <f>COUNTIFS(I2:I21,"ON",F2:F21,"NE")</f>
        <v>0</v>
      </c>
      <c r="X34" s="134">
        <f>COUNTIFS(I2:I21,"ON",F2:F21,"OFF")</f>
        <v>0</v>
      </c>
      <c r="Z34" s="354" t="s">
        <v>142</v>
      </c>
      <c r="AA34" s="131" t="s">
        <v>148</v>
      </c>
      <c r="AB34" s="127">
        <f>COUNTIFS(L2:L21,"ON",F2:F21,"ON")</f>
        <v>6</v>
      </c>
      <c r="AC34" s="127">
        <f>COUNTIFS(L2:L21,"ON",F2:F21,"NE")</f>
        <v>0</v>
      </c>
      <c r="AD34" s="134">
        <f>COUNTIFS(L2:L21,"ON",F2:F21,"OFF")</f>
        <v>1</v>
      </c>
    </row>
    <row r="35" spans="2:30" x14ac:dyDescent="0.3">
      <c r="B35" s="6"/>
      <c r="E35" s="6"/>
      <c r="H35" s="6"/>
      <c r="I35" s="6"/>
      <c r="N35" s="354"/>
      <c r="O35" s="131" t="s">
        <v>149</v>
      </c>
      <c r="P35" s="127">
        <f>COUNTIFS(C2:C21,"NE",F2:F21,"ON")</f>
        <v>1</v>
      </c>
      <c r="Q35" s="127">
        <f>COUNTIFS(C2:C21,"NE",F2:F21,"NE")</f>
        <v>0</v>
      </c>
      <c r="R35" s="134">
        <f>COUNTIFS(C2:C21,"NE",F2:F21,"OFF")</f>
        <v>0</v>
      </c>
      <c r="T35" s="354"/>
      <c r="U35" s="131" t="s">
        <v>149</v>
      </c>
      <c r="V35" s="127">
        <f>COUNTIFS(I2:I21,"NE",F2:F21,"ON")</f>
        <v>1</v>
      </c>
      <c r="W35" s="127">
        <f>COUNTIFS(I2:I21,"NE",F2:F21,"NE")</f>
        <v>0</v>
      </c>
      <c r="X35" s="134">
        <f>COUNTIFS(I2:I21,"NE",F2:F21,"OFF")</f>
        <v>0</v>
      </c>
      <c r="Z35" s="354"/>
      <c r="AA35" s="131" t="s">
        <v>149</v>
      </c>
      <c r="AB35" s="127">
        <f>COUNTIFS(L2:L21,"NE",F2:F21,"ON")</f>
        <v>1</v>
      </c>
      <c r="AC35" s="127">
        <f>COUNTIFS(L2:L21,"NE",F2:F21,"NE")</f>
        <v>0</v>
      </c>
      <c r="AD35" s="134">
        <f>COUNTIFS(L2:L21,"NE",F2:F21,"OFF")</f>
        <v>1</v>
      </c>
    </row>
    <row r="36" spans="2:30" x14ac:dyDescent="0.3">
      <c r="B36" s="6"/>
      <c r="E36" s="6"/>
      <c r="H36" s="6"/>
      <c r="I36" s="6"/>
      <c r="N36" s="354"/>
      <c r="O36" s="131" t="s">
        <v>150</v>
      </c>
      <c r="P36" s="127">
        <f>COUNTIFS(C2:C21,"OFF",F2:F21,"ON")</f>
        <v>0</v>
      </c>
      <c r="Q36" s="127">
        <f>COUNTIFS(C2:C21,"OFF",F2:F21,"NE")</f>
        <v>0</v>
      </c>
      <c r="R36" s="134">
        <f>COUNTIFS(C2:C21,"OFF",F2:F21,"OFF")</f>
        <v>12</v>
      </c>
      <c r="T36" s="354"/>
      <c r="U36" s="131" t="s">
        <v>150</v>
      </c>
      <c r="V36" s="127">
        <f>COUNTIFS(I2:I21,"OFF",F2:F21,"ON")</f>
        <v>0</v>
      </c>
      <c r="W36" s="127">
        <f>COUNTIFS(I2:I21,"OFF",F2:F21,"NE")</f>
        <v>0</v>
      </c>
      <c r="X36" s="134">
        <f>COUNTIFS(I2:I21,"OFF",F2:F21,"OFF")</f>
        <v>12</v>
      </c>
      <c r="Z36" s="354"/>
      <c r="AA36" s="131" t="s">
        <v>150</v>
      </c>
      <c r="AB36" s="127">
        <f>COUNTIFS(L2:L21,"OFF",F2:F21,"ON")</f>
        <v>1</v>
      </c>
      <c r="AC36" s="127">
        <f>COUNTIFS(L2:L21,"OFF",F2:F21,"NE")</f>
        <v>0</v>
      </c>
      <c r="AD36" s="134">
        <f>COUNTIFS(L2:L21,"OFF",F2:F21,"OFF")</f>
        <v>10</v>
      </c>
    </row>
    <row r="37" spans="2:30" x14ac:dyDescent="0.3">
      <c r="B37" s="6"/>
      <c r="E37" s="6"/>
      <c r="H37" s="6"/>
      <c r="I37" s="6"/>
      <c r="N37" s="5"/>
      <c r="O37" s="6"/>
      <c r="P37" s="6"/>
      <c r="Q37" s="6"/>
      <c r="R37" s="41"/>
      <c r="T37" s="5"/>
      <c r="U37" s="6"/>
      <c r="V37" s="6"/>
      <c r="W37" s="6"/>
      <c r="X37" s="41"/>
      <c r="Z37" s="5"/>
      <c r="AA37" s="6"/>
      <c r="AB37" s="6"/>
      <c r="AC37" s="6"/>
      <c r="AD37" s="41"/>
    </row>
    <row r="38" spans="2:30" x14ac:dyDescent="0.3">
      <c r="B38" s="6"/>
      <c r="E38" s="6"/>
      <c r="H38" s="6"/>
      <c r="I38" s="6"/>
      <c r="N38" s="356" t="s">
        <v>155</v>
      </c>
      <c r="O38" s="357"/>
      <c r="P38" s="357"/>
      <c r="Q38" s="357"/>
      <c r="R38" s="358"/>
      <c r="T38" s="135" t="s">
        <v>155</v>
      </c>
      <c r="U38" s="69"/>
      <c r="V38" s="6"/>
      <c r="W38" s="6"/>
      <c r="X38" s="41"/>
      <c r="Z38" s="135" t="s">
        <v>155</v>
      </c>
      <c r="AA38" s="69"/>
      <c r="AB38" s="6"/>
      <c r="AC38" s="6"/>
      <c r="AD38" s="41"/>
    </row>
    <row r="39" spans="2:30" x14ac:dyDescent="0.3">
      <c r="B39" s="6"/>
      <c r="E39" s="6"/>
      <c r="H39" s="6"/>
      <c r="I39" s="6"/>
      <c r="N39" s="5"/>
      <c r="O39" s="69"/>
      <c r="P39" s="355" t="s">
        <v>140</v>
      </c>
      <c r="Q39" s="355"/>
      <c r="R39" s="41"/>
      <c r="T39" s="5"/>
      <c r="U39" s="69"/>
      <c r="V39" s="355" t="s">
        <v>140</v>
      </c>
      <c r="W39" s="355"/>
      <c r="X39" s="41"/>
      <c r="Z39" s="5"/>
      <c r="AA39" s="69"/>
      <c r="AB39" s="355" t="s">
        <v>140</v>
      </c>
      <c r="AC39" s="355"/>
      <c r="AD39" s="41"/>
    </row>
    <row r="40" spans="2:30" ht="24" x14ac:dyDescent="0.3">
      <c r="B40" s="6"/>
      <c r="E40" s="6"/>
      <c r="H40" s="6"/>
      <c r="I40" s="6"/>
      <c r="N40" s="5"/>
      <c r="O40" s="128" t="s">
        <v>157</v>
      </c>
      <c r="P40" s="132" t="s">
        <v>148</v>
      </c>
      <c r="Q40" s="132" t="s">
        <v>150</v>
      </c>
      <c r="R40" s="41"/>
      <c r="T40" s="5"/>
      <c r="U40" s="128" t="s">
        <v>157</v>
      </c>
      <c r="V40" s="132" t="s">
        <v>148</v>
      </c>
      <c r="W40" s="132" t="s">
        <v>150</v>
      </c>
      <c r="X40" s="41"/>
      <c r="Z40" s="5"/>
      <c r="AA40" s="128" t="s">
        <v>157</v>
      </c>
      <c r="AB40" s="132" t="s">
        <v>148</v>
      </c>
      <c r="AC40" s="132" t="s">
        <v>150</v>
      </c>
      <c r="AD40" s="41"/>
    </row>
    <row r="41" spans="2:30" x14ac:dyDescent="0.3">
      <c r="B41" s="6"/>
      <c r="C41" s="6"/>
      <c r="D41" s="6"/>
      <c r="E41" s="6"/>
      <c r="F41" s="6"/>
      <c r="H41" s="6"/>
      <c r="I41" s="6"/>
      <c r="N41" s="354" t="s">
        <v>118</v>
      </c>
      <c r="O41" s="131" t="s">
        <v>148</v>
      </c>
      <c r="P41" s="127">
        <f>P34</f>
        <v>7</v>
      </c>
      <c r="Q41" s="127">
        <f>SUM(Q34:R34)</f>
        <v>0</v>
      </c>
      <c r="R41" s="88"/>
      <c r="T41" s="354" t="s">
        <v>141</v>
      </c>
      <c r="U41" s="131" t="s">
        <v>148</v>
      </c>
      <c r="V41" s="127">
        <f>V34</f>
        <v>7</v>
      </c>
      <c r="W41" s="127">
        <f>SUM(W34:X34)</f>
        <v>0</v>
      </c>
      <c r="X41" s="88"/>
      <c r="Z41" s="354" t="s">
        <v>142</v>
      </c>
      <c r="AA41" s="131" t="s">
        <v>148</v>
      </c>
      <c r="AB41" s="127">
        <f>AB34</f>
        <v>6</v>
      </c>
      <c r="AC41" s="127">
        <f>SUM(AC34:AD34)</f>
        <v>1</v>
      </c>
      <c r="AD41" s="88"/>
    </row>
    <row r="42" spans="2:30" x14ac:dyDescent="0.3">
      <c r="B42" s="6"/>
      <c r="C42" s="6"/>
      <c r="D42" s="6"/>
      <c r="E42" s="6"/>
      <c r="F42" s="6"/>
      <c r="H42" s="6"/>
      <c r="I42" s="6"/>
      <c r="N42" s="354"/>
      <c r="O42" s="131" t="s">
        <v>150</v>
      </c>
      <c r="P42" s="127">
        <f>SUM(P35:P36)</f>
        <v>1</v>
      </c>
      <c r="Q42" s="127">
        <f>SUM(Q35:R36)</f>
        <v>12</v>
      </c>
      <c r="R42" s="88"/>
      <c r="T42" s="354"/>
      <c r="U42" s="131" t="s">
        <v>150</v>
      </c>
      <c r="V42" s="127">
        <f>SUM(V35:V36)</f>
        <v>1</v>
      </c>
      <c r="W42" s="127">
        <f>SUM(W35:X36)</f>
        <v>12</v>
      </c>
      <c r="X42" s="88"/>
      <c r="Z42" s="354"/>
      <c r="AA42" s="131" t="s">
        <v>150</v>
      </c>
      <c r="AB42" s="127">
        <f>SUM(AB35:AB36)</f>
        <v>2</v>
      </c>
      <c r="AC42" s="127">
        <f>SUM(AC35:AD36)</f>
        <v>11</v>
      </c>
      <c r="AD42" s="88"/>
    </row>
    <row r="43" spans="2:30" x14ac:dyDescent="0.3">
      <c r="B43" s="6"/>
      <c r="C43" s="6"/>
      <c r="D43" s="6"/>
      <c r="E43" s="6"/>
      <c r="F43" s="6"/>
      <c r="H43" s="6"/>
      <c r="I43" s="6"/>
      <c r="N43" s="5"/>
      <c r="O43" s="6"/>
      <c r="P43" s="6"/>
      <c r="Q43" s="6"/>
      <c r="R43" s="41"/>
      <c r="T43" s="5"/>
      <c r="U43" s="6"/>
      <c r="V43" s="6"/>
      <c r="W43" s="6"/>
      <c r="X43" s="41"/>
      <c r="Z43" s="5"/>
      <c r="AA43" s="6"/>
      <c r="AB43" s="6"/>
      <c r="AC43" s="6"/>
      <c r="AD43" s="41"/>
    </row>
    <row r="44" spans="2:30" ht="36" x14ac:dyDescent="0.3">
      <c r="H44" s="6"/>
      <c r="I44" s="6"/>
      <c r="N44" s="136" t="s">
        <v>4</v>
      </c>
      <c r="O44" s="129" t="s">
        <v>84</v>
      </c>
      <c r="P44" s="132" t="s">
        <v>158</v>
      </c>
      <c r="Q44" s="132" t="s">
        <v>159</v>
      </c>
      <c r="R44" s="41"/>
      <c r="T44" s="136" t="s">
        <v>8</v>
      </c>
      <c r="U44" s="129" t="s">
        <v>84</v>
      </c>
      <c r="V44" s="132" t="s">
        <v>158</v>
      </c>
      <c r="W44" s="132" t="s">
        <v>159</v>
      </c>
      <c r="X44" s="41"/>
      <c r="Z44" s="136" t="s">
        <v>9</v>
      </c>
      <c r="AA44" s="129" t="s">
        <v>84</v>
      </c>
      <c r="AB44" s="132" t="s">
        <v>158</v>
      </c>
      <c r="AC44" s="132" t="s">
        <v>159</v>
      </c>
      <c r="AD44" s="41"/>
    </row>
    <row r="45" spans="2:30" x14ac:dyDescent="0.3">
      <c r="N45" s="137" t="s">
        <v>152</v>
      </c>
      <c r="O45" s="130">
        <f>Q42/SUM(Q41:Q42)</f>
        <v>1</v>
      </c>
      <c r="P45" s="130">
        <f>((2*Q42+NORMSINV(0.975)^2)-(NORMSINV(0.975)*SQRT(NORMSINV(0.975)^2+(4*Q41*Q42)/(Q41+Q42))))/(2*(Q41+Q42+NORMSINV(0.975)^2))</f>
        <v>0.75750599334475921</v>
      </c>
      <c r="Q45" s="130">
        <f>((2*Q42+NORMSINV(0.975)^2)+(NORMSINV(0.975)*SQRT(NORMSINV(0.975)^2+(4*Q41*Q42)/(Q41+Q42))))/(2*(Q41+Q42+NORMSINV(0.975)^2))</f>
        <v>0.99999999999999989</v>
      </c>
      <c r="R45" s="41"/>
      <c r="T45" s="137" t="s">
        <v>152</v>
      </c>
      <c r="U45" s="130">
        <f>W42/SUM(W41:W42)</f>
        <v>1</v>
      </c>
      <c r="V45" s="130">
        <f>((2*W42+NORMSINV(0.975)^2)-(NORMSINV(0.975)*SQRT(NORMSINV(0.975)^2+(4*W41*W42)/(W41+W42))))/(2*(W41+W42+NORMSINV(0.975)^2))</f>
        <v>0.75750599334475921</v>
      </c>
      <c r="W45" s="130">
        <f>((2*W42+NORMSINV(0.975)^2)+(NORMSINV(0.975)*SQRT(NORMSINV(0.975)^2+(4*W41*W42)/(W41+W42))))/(2*(W41+W42+NORMSINV(0.975)^2))</f>
        <v>0.99999999999999989</v>
      </c>
      <c r="X45" s="41"/>
      <c r="Z45" s="137" t="s">
        <v>152</v>
      </c>
      <c r="AA45" s="130">
        <f>AC42/SUM(AC41:AC42)</f>
        <v>0.91666666666666663</v>
      </c>
      <c r="AB45" s="130">
        <f>((2*AC42+NORMSINV(0.975)^2)-(NORMSINV(0.975)*SQRT(NORMSINV(0.975)^2+(4*AC41*AC42)/(AC41+AC42))))/(2*(AC41+AC42+NORMSINV(0.975)^2))</f>
        <v>0.64612008885888306</v>
      </c>
      <c r="AC45" s="130">
        <f>((2*AC42+NORMSINV(0.975)^2)+(NORMSINV(0.975)*SQRT(NORMSINV(0.975)^2+(4*AC41*AC42)/(AC41+AC42))))/(2*(AC41+AC42+NORMSINV(0.975)^2))</f>
        <v>0.98513490559508288</v>
      </c>
      <c r="AD45" s="41"/>
    </row>
    <row r="46" spans="2:30" x14ac:dyDescent="0.3">
      <c r="N46" s="137" t="s">
        <v>153</v>
      </c>
      <c r="O46" s="130">
        <f>P41/SUM(P41:P42)</f>
        <v>0.875</v>
      </c>
      <c r="P46" s="130">
        <f>((2*P41+NORMSINV(0.975)^2)-(NORMSINV(0.975)*SQRT(NORMSINV(0.975)^2+(4*P41*P42)/(P41+P42))))/(2*(P41+P42+NORMSINV(0.975)^2))</f>
        <v>0.52911181778714644</v>
      </c>
      <c r="Q46" s="130">
        <f>((2*P41+NORMSINV(0.975)^2)+(NORMSINV(0.975)*SQRT(NORMSINV(0.975)^2+(4*P41*P42)/(P41+P42))))/(2*(P41+P42+NORMSINV(0.975)^2))</f>
        <v>0.97758250854994333</v>
      </c>
      <c r="R46" s="41"/>
      <c r="T46" s="137" t="s">
        <v>153</v>
      </c>
      <c r="U46" s="130">
        <f>V41/SUM(V41:V42)</f>
        <v>0.875</v>
      </c>
      <c r="V46" s="130">
        <f>((2*V41+NORMSINV(0.975)^2)-(NORMSINV(0.975)*SQRT(NORMSINV(0.975)^2+(4*V41*V42)/(V41+V42))))/(2*(V41+V42+NORMSINV(0.975)^2))</f>
        <v>0.52911181778714644</v>
      </c>
      <c r="W46" s="130">
        <f>((2*V41+NORMSINV(0.975)^2)+(NORMSINV(0.975)*SQRT(NORMSINV(0.975)^2+(4*V41*V42)/(V41+V42))))/(2*(V41+V42+NORMSINV(0.975)^2))</f>
        <v>0.97758250854994333</v>
      </c>
      <c r="X46" s="41"/>
      <c r="Z46" s="137" t="s">
        <v>153</v>
      </c>
      <c r="AA46" s="130">
        <f>AB41/SUM(AB41:AB42)</f>
        <v>0.75</v>
      </c>
      <c r="AB46" s="130">
        <f>((2*AB41+NORMSINV(0.975)^2)-(NORMSINV(0.975)*SQRT(NORMSINV(0.975)^2+(4*AB41*AB42)/(AB41+AB42))))/(2*(AB41+AB42+NORMSINV(0.975)^2))</f>
        <v>0.409275430310169</v>
      </c>
      <c r="AC46" s="130">
        <f>((2*AB41+NORMSINV(0.975)^2)+(NORMSINV(0.975)*SQRT(NORMSINV(0.975)^2+(4*AB41*AB42)/(AB41+AB42))))/(2*(AB41+AB42+NORMSINV(0.975)^2))</f>
        <v>0.92852078724789089</v>
      </c>
      <c r="AD46" s="41"/>
    </row>
    <row r="47" spans="2:30" x14ac:dyDescent="0.3">
      <c r="N47" s="137" t="s">
        <v>154</v>
      </c>
      <c r="O47" s="130">
        <f>SUM(P41,Q42)/SUM(P41:Q42)</f>
        <v>0.95</v>
      </c>
      <c r="P47" s="130">
        <f>((2*(P41+Q42)+NORMSINV(0.975)^2)-(NORMSINV(0.975)*SQRT(NORMSINV(0.975)^2+(4*(P41+Q42)*(Q41+P42))/SUM(P41:Q42))))/(2*(SUM(P41:Q42)+NORMSINV(0.975)^2))</f>
        <v>0.76386880655325806</v>
      </c>
      <c r="Q47" s="130">
        <f>((2*(P41+Q42)+NORMSINV(0.975)^2)+(NORMSINV(0.975)*SQRT(NORMSINV(0.975)^2+(4*(P41+Q42)*(Q41+P42))/SUM(P41:Q42))))/(2*(SUM(P41:Q42)+NORMSINV(0.975)^2))</f>
        <v>0.99111855119920467</v>
      </c>
      <c r="R47" s="41"/>
      <c r="T47" s="137" t="s">
        <v>154</v>
      </c>
      <c r="U47" s="130">
        <f>SUM(V41,W42)/SUM(V41:W42)</f>
        <v>0.95</v>
      </c>
      <c r="V47" s="130">
        <f>((2*(V41+W42)+NORMSINV(0.975)^2)-(NORMSINV(0.975)*SQRT(NORMSINV(0.975)^2+(4*(V41+W42)*(W41+V42))/SUM(V41:W42))))/(2*(SUM(V41:W42)+NORMSINV(0.975)^2))</f>
        <v>0.76386880655325806</v>
      </c>
      <c r="W47" s="130">
        <f>((2*(V41+W42)+NORMSINV(0.975)^2)+(NORMSINV(0.975)*SQRT(NORMSINV(0.975)^2+(4*(V41+W42)*(W41+V42))/SUM(V41:W42))))/(2*(SUM(V41:W42)+NORMSINV(0.975)^2))</f>
        <v>0.99111855119920467</v>
      </c>
      <c r="X47" s="41"/>
      <c r="Z47" s="137" t="s">
        <v>154</v>
      </c>
      <c r="AA47" s="130">
        <f>SUM(AB41,AC42)/SUM(AB41:AC42)</f>
        <v>0.85</v>
      </c>
      <c r="AB47" s="130">
        <f>((2*(AB41+AC42)+NORMSINV(0.975)^2)-(NORMSINV(0.975)*SQRT(NORMSINV(0.975)^2+(4*(AB41+AC42)*(AC41+AB42))/SUM(AB41:AC42))))/(2*(SUM(AB41:AC42)+NORMSINV(0.975)^2))</f>
        <v>0.63958113525924309</v>
      </c>
      <c r="AC47" s="130">
        <f>((2*(AB41+AC42)+NORMSINV(0.975)^2)+(NORMSINV(0.975)*SQRT(NORMSINV(0.975)^2+(4*(AB41+AC42)*(AC41+AB42))/SUM(AB41:AC42))))/(2*(SUM(AB41:AC42)+NORMSINV(0.975)^2))</f>
        <v>0.94763125410378335</v>
      </c>
      <c r="AD47" s="41"/>
    </row>
    <row r="48" spans="2:30" x14ac:dyDescent="0.3">
      <c r="N48" s="5"/>
      <c r="O48" s="6"/>
      <c r="P48" s="6"/>
      <c r="Q48" s="6"/>
      <c r="R48" s="41"/>
      <c r="T48" s="5"/>
      <c r="U48" s="6"/>
      <c r="V48" s="6"/>
      <c r="W48" s="6"/>
      <c r="X48" s="41"/>
      <c r="Z48" s="5"/>
      <c r="AA48" s="6"/>
      <c r="AB48" s="6"/>
      <c r="AC48" s="6"/>
      <c r="AD48" s="41"/>
    </row>
    <row r="49" spans="14:30" ht="28.2" customHeight="1" x14ac:dyDescent="0.3">
      <c r="N49" s="356" t="s">
        <v>160</v>
      </c>
      <c r="O49" s="357"/>
      <c r="P49" s="357"/>
      <c r="Q49" s="357"/>
      <c r="R49" s="358"/>
      <c r="T49" s="351" t="s">
        <v>160</v>
      </c>
      <c r="U49" s="352"/>
      <c r="V49" s="352"/>
      <c r="W49" s="352"/>
      <c r="X49" s="353"/>
      <c r="Z49" s="351" t="s">
        <v>160</v>
      </c>
      <c r="AA49" s="352"/>
      <c r="AB49" s="352"/>
      <c r="AC49" s="352"/>
      <c r="AD49" s="353"/>
    </row>
    <row r="50" spans="14:30" x14ac:dyDescent="0.3">
      <c r="N50" s="5"/>
      <c r="O50" s="69"/>
      <c r="P50" s="359" t="s">
        <v>140</v>
      </c>
      <c r="Q50" s="360"/>
      <c r="R50" s="41"/>
      <c r="T50" s="5"/>
      <c r="U50" s="69"/>
      <c r="V50" s="359" t="s">
        <v>140</v>
      </c>
      <c r="W50" s="360"/>
      <c r="X50" s="41"/>
      <c r="Z50" s="5"/>
      <c r="AA50" s="69"/>
      <c r="AB50" s="359" t="s">
        <v>140</v>
      </c>
      <c r="AC50" s="360"/>
      <c r="AD50" s="41"/>
    </row>
    <row r="51" spans="14:30" ht="24" x14ac:dyDescent="0.3">
      <c r="N51" s="5"/>
      <c r="O51" s="128" t="s">
        <v>157</v>
      </c>
      <c r="P51" s="132" t="s">
        <v>148</v>
      </c>
      <c r="Q51" s="132" t="s">
        <v>150</v>
      </c>
      <c r="R51" s="41"/>
      <c r="T51" s="5"/>
      <c r="U51" s="128" t="s">
        <v>157</v>
      </c>
      <c r="V51" s="132" t="s">
        <v>148</v>
      </c>
      <c r="W51" s="132" t="s">
        <v>150</v>
      </c>
      <c r="X51" s="41"/>
      <c r="Z51" s="5"/>
      <c r="AA51" s="128" t="s">
        <v>157</v>
      </c>
      <c r="AB51" s="132" t="s">
        <v>148</v>
      </c>
      <c r="AC51" s="132" t="s">
        <v>150</v>
      </c>
      <c r="AD51" s="41"/>
    </row>
    <row r="52" spans="14:30" x14ac:dyDescent="0.3">
      <c r="N52" s="354" t="s">
        <v>118</v>
      </c>
      <c r="O52" s="131" t="s">
        <v>148</v>
      </c>
      <c r="P52" s="127">
        <f>SUM(P34:Q35)</f>
        <v>8</v>
      </c>
      <c r="Q52" s="127">
        <f>SUM(R34:R35)</f>
        <v>0</v>
      </c>
      <c r="R52" s="41"/>
      <c r="T52" s="354" t="s">
        <v>141</v>
      </c>
      <c r="U52" s="131" t="s">
        <v>148</v>
      </c>
      <c r="V52" s="127">
        <f>SUM(V34:W35)</f>
        <v>8</v>
      </c>
      <c r="W52" s="127">
        <f>SUM(X34:X35)</f>
        <v>0</v>
      </c>
      <c r="X52" s="41"/>
      <c r="Z52" s="354" t="s">
        <v>142</v>
      </c>
      <c r="AA52" s="131" t="s">
        <v>148</v>
      </c>
      <c r="AB52" s="127">
        <f>SUM(AB34:AC35)</f>
        <v>7</v>
      </c>
      <c r="AC52" s="127">
        <f>SUM(AD34:AD35)</f>
        <v>2</v>
      </c>
      <c r="AD52" s="41"/>
    </row>
    <row r="53" spans="14:30" x14ac:dyDescent="0.3">
      <c r="N53" s="354"/>
      <c r="O53" s="131" t="s">
        <v>150</v>
      </c>
      <c r="P53" s="127">
        <f>SUM(P36:Q36)</f>
        <v>0</v>
      </c>
      <c r="Q53" s="127">
        <f>R36</f>
        <v>12</v>
      </c>
      <c r="R53" s="41"/>
      <c r="T53" s="354"/>
      <c r="U53" s="131" t="s">
        <v>150</v>
      </c>
      <c r="V53" s="127">
        <f>SUM(V36:W36)</f>
        <v>0</v>
      </c>
      <c r="W53" s="127">
        <f>X36</f>
        <v>12</v>
      </c>
      <c r="X53" s="41"/>
      <c r="Z53" s="354"/>
      <c r="AA53" s="131" t="s">
        <v>150</v>
      </c>
      <c r="AB53" s="127">
        <f>SUM(AB36:AC36)</f>
        <v>1</v>
      </c>
      <c r="AC53" s="127">
        <f>AD36</f>
        <v>10</v>
      </c>
      <c r="AD53" s="41"/>
    </row>
    <row r="54" spans="14:30" x14ac:dyDescent="0.3">
      <c r="N54" s="5"/>
      <c r="O54" s="6"/>
      <c r="P54" s="6"/>
      <c r="Q54" s="6"/>
      <c r="R54" s="41"/>
      <c r="T54" s="5"/>
      <c r="U54" s="6"/>
      <c r="V54" s="6"/>
      <c r="W54" s="6"/>
      <c r="X54" s="41"/>
      <c r="Z54" s="5"/>
      <c r="AA54" s="6"/>
      <c r="AB54" s="6"/>
      <c r="AC54" s="6"/>
      <c r="AD54" s="41"/>
    </row>
    <row r="55" spans="14:30" ht="36" x14ac:dyDescent="0.3">
      <c r="N55" s="136" t="s">
        <v>4</v>
      </c>
      <c r="O55" s="129" t="s">
        <v>84</v>
      </c>
      <c r="P55" s="132" t="s">
        <v>158</v>
      </c>
      <c r="Q55" s="132" t="s">
        <v>159</v>
      </c>
      <c r="R55" s="41"/>
      <c r="T55" s="136" t="s">
        <v>8</v>
      </c>
      <c r="U55" s="129" t="s">
        <v>84</v>
      </c>
      <c r="V55" s="132" t="s">
        <v>158</v>
      </c>
      <c r="W55" s="132" t="s">
        <v>159</v>
      </c>
      <c r="X55" s="41"/>
      <c r="Z55" s="136" t="s">
        <v>9</v>
      </c>
      <c r="AA55" s="129" t="s">
        <v>84</v>
      </c>
      <c r="AB55" s="132" t="s">
        <v>158</v>
      </c>
      <c r="AC55" s="132" t="s">
        <v>159</v>
      </c>
      <c r="AD55" s="41"/>
    </row>
    <row r="56" spans="14:30" x14ac:dyDescent="0.3">
      <c r="N56" s="137" t="s">
        <v>152</v>
      </c>
      <c r="O56" s="130">
        <f>Q53/SUM(Q52:Q53)</f>
        <v>1</v>
      </c>
      <c r="P56" s="130">
        <f>((2*Q53+NORMSINV(0.975)^2)-(NORMSINV(0.975)*SQRT(NORMSINV(0.975)^2+(4*Q52*Q53)/(Q52+Q53))))/(2*(Q52+Q53+NORMSINV(0.975)^2))</f>
        <v>0.75750599334475921</v>
      </c>
      <c r="Q56" s="130">
        <f>((2*Q53+NORMSINV(0.975)^2)+(NORMSINV(0.975)*SQRT(NORMSINV(0.975)^2+(4*Q52*Q53)/(Q52+Q53))))/(2*(Q52+Q53+NORMSINV(0.975)^2))</f>
        <v>0.99999999999999989</v>
      </c>
      <c r="R56" s="41"/>
      <c r="T56" s="137" t="s">
        <v>152</v>
      </c>
      <c r="U56" s="130">
        <f>W53/SUM(W52:W53)</f>
        <v>1</v>
      </c>
      <c r="V56" s="130">
        <f>((2*W53+NORMSINV(0.975)^2)-(NORMSINV(0.975)*SQRT(NORMSINV(0.975)^2+(4*W52*W53)/(W52+W53))))/(2*(W52+W53+NORMSINV(0.975)^2))</f>
        <v>0.75750599334475921</v>
      </c>
      <c r="W56" s="130">
        <f>((2*W53+NORMSINV(0.975)^2)+(NORMSINV(0.975)*SQRT(NORMSINV(0.975)^2+(4*W52*W53)/(W52+W53))))/(2*(W52+W53+NORMSINV(0.975)^2))</f>
        <v>0.99999999999999989</v>
      </c>
      <c r="X56" s="41"/>
      <c r="Z56" s="137" t="s">
        <v>152</v>
      </c>
      <c r="AA56" s="130">
        <f>AC53/SUM(AC52:AC53)</f>
        <v>0.83333333333333337</v>
      </c>
      <c r="AB56" s="130">
        <f>((2*AC53+NORMSINV(0.975)^2)-(NORMSINV(0.975)*SQRT(NORMSINV(0.975)^2+(4*AC52*AC53)/(AC52+AC53))))/(2*(AC52+AC53+NORMSINV(0.975)^2))</f>
        <v>0.55196913774702672</v>
      </c>
      <c r="AC56" s="130">
        <f>((2*AC53+NORMSINV(0.975)^2)+(NORMSINV(0.975)*SQRT(NORMSINV(0.975)^2+(4*AC52*AC53)/(AC52+AC53))))/(2*(AC52+AC53+NORMSINV(0.975)^2))</f>
        <v>0.95303485781614605</v>
      </c>
      <c r="AD56" s="41"/>
    </row>
    <row r="57" spans="14:30" x14ac:dyDescent="0.3">
      <c r="N57" s="137" t="s">
        <v>153</v>
      </c>
      <c r="O57" s="130">
        <f>P52/SUM(P52:P53)</f>
        <v>1</v>
      </c>
      <c r="P57" s="130">
        <f>((2*P52+NORMSINV(0.975)^2)-(NORMSINV(0.975)*SQRT(NORMSINV(0.975)^2+(4*P52*P53)/(P52+P53))))/(2*(P52+P53+NORMSINV(0.975)^2))</f>
        <v>0.67559243511611977</v>
      </c>
      <c r="Q57" s="130">
        <f>((2*P52+NORMSINV(0.975)^2)+(NORMSINV(0.975)*SQRT(NORMSINV(0.975)^2+(4*P52*P53)/(P52+P53))))/(2*(P52+P53+NORMSINV(0.975)^2))</f>
        <v>0.99999999999999989</v>
      </c>
      <c r="R57" s="41"/>
      <c r="T57" s="137" t="s">
        <v>153</v>
      </c>
      <c r="U57" s="130">
        <f>V52/SUM(V52:V53)</f>
        <v>1</v>
      </c>
      <c r="V57" s="130">
        <f>((2*V52+NORMSINV(0.975)^2)-(NORMSINV(0.975)*SQRT(NORMSINV(0.975)^2+(4*V52*V53)/(V52+V53))))/(2*(V52+V53+NORMSINV(0.975)^2))</f>
        <v>0.67559243511611977</v>
      </c>
      <c r="W57" s="130">
        <f>((2*V52+NORMSINV(0.975)^2)+(NORMSINV(0.975)*SQRT(NORMSINV(0.975)^2+(4*V52*V53)/(V52+V53))))/(2*(V52+V53+NORMSINV(0.975)^2))</f>
        <v>0.99999999999999989</v>
      </c>
      <c r="X57" s="41"/>
      <c r="Z57" s="137" t="s">
        <v>153</v>
      </c>
      <c r="AA57" s="130">
        <f>AB52/SUM(AB52:AB53)</f>
        <v>0.875</v>
      </c>
      <c r="AB57" s="130">
        <f>((2*AB52+NORMSINV(0.975)^2)-(NORMSINV(0.975)*SQRT(NORMSINV(0.975)^2+(4*AB52*AB53)/(AB52+AB53))))/(2*(AB52+AB53+NORMSINV(0.975)^2))</f>
        <v>0.52911181778714644</v>
      </c>
      <c r="AC57" s="130">
        <f>((2*AB52+NORMSINV(0.975)^2)+(NORMSINV(0.975)*SQRT(NORMSINV(0.975)^2+(4*AB52*AB53)/(AB52+AB53))))/(2*(AB52+AB53+NORMSINV(0.975)^2))</f>
        <v>0.97758250854994333</v>
      </c>
      <c r="AD57" s="41"/>
    </row>
    <row r="58" spans="14:30" ht="15" thickBot="1" x14ac:dyDescent="0.35">
      <c r="N58" s="138" t="s">
        <v>154</v>
      </c>
      <c r="O58" s="139">
        <f>SUM(P52,Q53)/SUM(P52:Q53)</f>
        <v>1</v>
      </c>
      <c r="P58" s="139">
        <f>((2*(P52+Q53)+NORMSINV(0.975)^2)-(NORMSINV(0.975)*SQRT(NORMSINV(0.975)^2+(4*(P52+Q53)*(Q52+P53))/SUM(P52:Q53))))/(2*(SUM(P52:Q53)+NORMSINV(0.975)^2))</f>
        <v>0.83887484194718076</v>
      </c>
      <c r="Q58" s="139">
        <f>((2*(P52+Q53)+NORMSINV(0.975)^2)+(NORMSINV(0.975)*SQRT(NORMSINV(0.975)^2+(4*(P52+Q53)*(Q52+P53))/SUM(P52:Q53))))/(2*(SUM(P52:Q53)+NORMSINV(0.975)^2))</f>
        <v>1</v>
      </c>
      <c r="R58" s="42"/>
      <c r="T58" s="138" t="s">
        <v>154</v>
      </c>
      <c r="U58" s="139">
        <f>SUM(V52,W53)/SUM(V52:W53)</f>
        <v>1</v>
      </c>
      <c r="V58" s="139">
        <f>((2*(V52+W53)+NORMSINV(0.975)^2)-(NORMSINV(0.975)*SQRT(NORMSINV(0.975)^2+(4*(V52+W53)*(W52+V53))/SUM(V52:W53))))/(2*(SUM(V52:W53)+NORMSINV(0.975)^2))</f>
        <v>0.83887484194718076</v>
      </c>
      <c r="W58" s="139">
        <f>((2*(V52+W53)+NORMSINV(0.975)^2)+(NORMSINV(0.975)*SQRT(NORMSINV(0.975)^2+(4*(V52+W53)*(W52+V53))/SUM(V52:W53))))/(2*(SUM(V52:W53)+NORMSINV(0.975)^2))</f>
        <v>1</v>
      </c>
      <c r="X58" s="42"/>
      <c r="Z58" s="138" t="s">
        <v>154</v>
      </c>
      <c r="AA58" s="139">
        <f>SUM(AB52,AC53)/SUM(AB52:AC53)</f>
        <v>0.85</v>
      </c>
      <c r="AB58" s="139">
        <f>((2*(AB52+AC53)+NORMSINV(0.975)^2)-(NORMSINV(0.975)*SQRT(NORMSINV(0.975)^2+(4*(AB52+AC53)*(AC52+AB53))/SUM(AB52:AC53))))/(2*(SUM(AB52:AC53)+NORMSINV(0.975)^2))</f>
        <v>0.63958113525924309</v>
      </c>
      <c r="AC58" s="139">
        <f>((2*(AB52+AC53)+NORMSINV(0.975)^2)+(NORMSINV(0.975)*SQRT(NORMSINV(0.975)^2+(4*(AB52+AC53)*(AC52+AB53))/SUM(AB52:AC53))))/(2*(SUM(AB52:AC53)+NORMSINV(0.975)^2))</f>
        <v>0.94763125410378335</v>
      </c>
      <c r="AD58" s="42"/>
    </row>
    <row r="60" spans="14:30" ht="15" thickBot="1" x14ac:dyDescent="0.35">
      <c r="N60" s="18" t="s">
        <v>163</v>
      </c>
      <c r="O60" s="6"/>
      <c r="R60" s="6"/>
      <c r="T60" s="18" t="s">
        <v>163</v>
      </c>
      <c r="U60" s="6"/>
      <c r="X60" s="6"/>
      <c r="Z60" s="18" t="s">
        <v>163</v>
      </c>
      <c r="AA60" s="6"/>
      <c r="AD60" s="6"/>
    </row>
    <row r="61" spans="14:30" x14ac:dyDescent="0.3">
      <c r="N61" s="3"/>
      <c r="O61" s="4"/>
      <c r="P61" s="349" t="s">
        <v>142</v>
      </c>
      <c r="Q61" s="349"/>
      <c r="R61" s="350"/>
      <c r="T61" s="3"/>
      <c r="U61" s="4"/>
      <c r="V61" s="349" t="s">
        <v>142</v>
      </c>
      <c r="W61" s="349"/>
      <c r="X61" s="350"/>
      <c r="Z61" s="3"/>
      <c r="AA61" s="4"/>
      <c r="AB61" s="349" t="s">
        <v>142</v>
      </c>
      <c r="AC61" s="349"/>
      <c r="AD61" s="350"/>
    </row>
    <row r="62" spans="14:30" ht="24" x14ac:dyDescent="0.3">
      <c r="N62" s="5"/>
      <c r="O62" s="128" t="s">
        <v>156</v>
      </c>
      <c r="P62" s="132" t="s">
        <v>148</v>
      </c>
      <c r="Q62" s="132" t="s">
        <v>149</v>
      </c>
      <c r="R62" s="133" t="s">
        <v>150</v>
      </c>
      <c r="T62" s="5"/>
      <c r="U62" s="128" t="s">
        <v>156</v>
      </c>
      <c r="V62" s="132" t="s">
        <v>148</v>
      </c>
      <c r="W62" s="132" t="s">
        <v>149</v>
      </c>
      <c r="X62" s="133" t="s">
        <v>150</v>
      </c>
      <c r="Z62" s="5"/>
      <c r="AA62" s="128" t="s">
        <v>156</v>
      </c>
      <c r="AB62" s="132" t="s">
        <v>148</v>
      </c>
      <c r="AC62" s="132" t="s">
        <v>149</v>
      </c>
      <c r="AD62" s="133" t="s">
        <v>150</v>
      </c>
    </row>
    <row r="63" spans="14:30" x14ac:dyDescent="0.3">
      <c r="N63" s="354" t="s">
        <v>118</v>
      </c>
      <c r="O63" s="131" t="s">
        <v>148</v>
      </c>
      <c r="P63" s="127">
        <f>COUNTIFS(C2:C21,"ON",L2:L21,"ON")</f>
        <v>5</v>
      </c>
      <c r="Q63" s="127">
        <f>COUNTIFS(C2:C21,"ON",L2:L21,"NE")</f>
        <v>1</v>
      </c>
      <c r="R63" s="134">
        <f>COUNTIFS(C2:C21,"ON",L2:L21,"OFF")</f>
        <v>1</v>
      </c>
      <c r="T63" s="354" t="s">
        <v>141</v>
      </c>
      <c r="U63" s="131" t="s">
        <v>148</v>
      </c>
      <c r="V63" s="127">
        <f>COUNTIFS(I2:I21,"ON",L2:L21,"ON")</f>
        <v>6</v>
      </c>
      <c r="W63" s="127">
        <f>COUNTIFS(I2:I21,"ON",L2:L21,"NE")</f>
        <v>0</v>
      </c>
      <c r="X63" s="134">
        <f>COUNTIFS(I2:I21,"ON",L2:L21,"OFF")</f>
        <v>1</v>
      </c>
      <c r="Z63" s="354" t="s">
        <v>140</v>
      </c>
      <c r="AA63" s="131" t="s">
        <v>148</v>
      </c>
      <c r="AB63" s="127">
        <f>COUNTIFS(F2:F21,"ON",L2:L21,"ON")</f>
        <v>6</v>
      </c>
      <c r="AC63" s="127">
        <f>COUNTIFS(F2:F21,"ON",L2:L21,"NE")</f>
        <v>1</v>
      </c>
      <c r="AD63" s="134">
        <f>COUNTIFS(F2:F21,"ON",L2:L21,"OFF")</f>
        <v>1</v>
      </c>
    </row>
    <row r="64" spans="14:30" x14ac:dyDescent="0.3">
      <c r="N64" s="354"/>
      <c r="O64" s="131" t="s">
        <v>149</v>
      </c>
      <c r="P64" s="127">
        <f>COUNTIFS(C2:C21,"NE",L2:L21,"ON")</f>
        <v>1</v>
      </c>
      <c r="Q64" s="127">
        <f>COUNTIFS(C2:C21,"NE",L2:L21,"NE")</f>
        <v>0</v>
      </c>
      <c r="R64" s="134">
        <f>COUNTIFS(C2:C21,"NE",L2:L21,"OFF")</f>
        <v>0</v>
      </c>
      <c r="T64" s="354"/>
      <c r="U64" s="131" t="s">
        <v>149</v>
      </c>
      <c r="V64" s="127">
        <f>COUNTIFS(I2:I21,"NE",L2:L21,"ON")</f>
        <v>0</v>
      </c>
      <c r="W64" s="127">
        <f>COUNTIFS(I2:I21,"NE",L2:L21,"NE")</f>
        <v>1</v>
      </c>
      <c r="X64" s="134">
        <f>COUNTIFS(I2:I21,"NE",L2:L21,"OFF")</f>
        <v>0</v>
      </c>
      <c r="Z64" s="354"/>
      <c r="AA64" s="131" t="s">
        <v>149</v>
      </c>
      <c r="AB64" s="127">
        <f>COUNTIFS(F2:F21,"NE",L2:L21,"ON")</f>
        <v>0</v>
      </c>
      <c r="AC64" s="127">
        <f>COUNTIFS(F2:F21,"NE",L2:L21,"NE")</f>
        <v>0</v>
      </c>
      <c r="AD64" s="134">
        <f>COUNTIFS(F2:F21,"NE",L2:L21,"OFF")</f>
        <v>0</v>
      </c>
    </row>
    <row r="65" spans="14:30" x14ac:dyDescent="0.3">
      <c r="N65" s="354"/>
      <c r="O65" s="131" t="s">
        <v>150</v>
      </c>
      <c r="P65" s="127">
        <f>COUNTIFS(C2:C21,"OFF",L2:L21,"ON")</f>
        <v>1</v>
      </c>
      <c r="Q65" s="127">
        <f>COUNTIFS(C2:C21,"OFF",L2:L21,"NE")</f>
        <v>1</v>
      </c>
      <c r="R65" s="134">
        <f>COUNTIFS(C2:C21,"OFF",L2:L21,"OFF")</f>
        <v>10</v>
      </c>
      <c r="T65" s="354"/>
      <c r="U65" s="131" t="s">
        <v>150</v>
      </c>
      <c r="V65" s="127">
        <f>COUNTIFS(I2:I21,"OFF",L2:L21,"ON")</f>
        <v>1</v>
      </c>
      <c r="W65" s="127">
        <f>COUNTIFS(I2:I21,"OFF",L2:L21,"NE")</f>
        <v>1</v>
      </c>
      <c r="X65" s="134">
        <f>COUNTIFS(I2:I21,"OFF",L2:L21,"OFF")</f>
        <v>10</v>
      </c>
      <c r="Z65" s="354"/>
      <c r="AA65" s="131" t="s">
        <v>150</v>
      </c>
      <c r="AB65" s="127">
        <f>COUNTIFS(F2:F21,"OFF",L2:L21,"ON")</f>
        <v>1</v>
      </c>
      <c r="AC65" s="127">
        <f>COUNTIFS(F2:F21,"OFF",L2:L21,"NE")</f>
        <v>1</v>
      </c>
      <c r="AD65" s="134">
        <f>COUNTIFS(F2:F21,"OFF",L2:L21,"OFF")</f>
        <v>10</v>
      </c>
    </row>
    <row r="66" spans="14:30" x14ac:dyDescent="0.3">
      <c r="N66" s="5"/>
      <c r="O66" s="6"/>
      <c r="P66" s="6"/>
      <c r="Q66" s="6"/>
      <c r="R66" s="41"/>
      <c r="T66" s="5"/>
      <c r="U66" s="6"/>
      <c r="V66" s="6"/>
      <c r="W66" s="6"/>
      <c r="X66" s="41"/>
      <c r="Z66" s="5"/>
      <c r="AA66" s="6"/>
      <c r="AB66" s="6"/>
      <c r="AC66" s="6"/>
      <c r="AD66" s="41"/>
    </row>
    <row r="67" spans="14:30" x14ac:dyDescent="0.3">
      <c r="N67" s="356" t="s">
        <v>155</v>
      </c>
      <c r="O67" s="357"/>
      <c r="P67" s="357"/>
      <c r="Q67" s="357"/>
      <c r="R67" s="358"/>
      <c r="T67" s="135" t="s">
        <v>155</v>
      </c>
      <c r="U67" s="69"/>
      <c r="V67" s="6"/>
      <c r="W67" s="6"/>
      <c r="X67" s="41"/>
      <c r="Z67" s="135" t="s">
        <v>155</v>
      </c>
      <c r="AA67" s="69"/>
      <c r="AB67" s="6"/>
      <c r="AC67" s="6"/>
      <c r="AD67" s="41"/>
    </row>
    <row r="68" spans="14:30" x14ac:dyDescent="0.3">
      <c r="N68" s="5"/>
      <c r="O68" s="69"/>
      <c r="P68" s="355" t="s">
        <v>142</v>
      </c>
      <c r="Q68" s="355"/>
      <c r="R68" s="41"/>
      <c r="T68" s="5"/>
      <c r="U68" s="69"/>
      <c r="V68" s="355" t="s">
        <v>142</v>
      </c>
      <c r="W68" s="355"/>
      <c r="X68" s="41"/>
      <c r="Z68" s="5"/>
      <c r="AA68" s="69"/>
      <c r="AB68" s="355" t="s">
        <v>142</v>
      </c>
      <c r="AC68" s="355"/>
      <c r="AD68" s="41"/>
    </row>
    <row r="69" spans="14:30" ht="24" x14ac:dyDescent="0.3">
      <c r="N69" s="5"/>
      <c r="O69" s="128" t="s">
        <v>157</v>
      </c>
      <c r="P69" s="132" t="s">
        <v>148</v>
      </c>
      <c r="Q69" s="132" t="s">
        <v>150</v>
      </c>
      <c r="R69" s="41"/>
      <c r="T69" s="5"/>
      <c r="U69" s="128" t="s">
        <v>157</v>
      </c>
      <c r="V69" s="132" t="s">
        <v>148</v>
      </c>
      <c r="W69" s="132" t="s">
        <v>150</v>
      </c>
      <c r="X69" s="41"/>
      <c r="Z69" s="5"/>
      <c r="AA69" s="128" t="s">
        <v>157</v>
      </c>
      <c r="AB69" s="132" t="s">
        <v>148</v>
      </c>
      <c r="AC69" s="132" t="s">
        <v>150</v>
      </c>
      <c r="AD69" s="41"/>
    </row>
    <row r="70" spans="14:30" x14ac:dyDescent="0.3">
      <c r="N70" s="354" t="s">
        <v>118</v>
      </c>
      <c r="O70" s="131" t="s">
        <v>148</v>
      </c>
      <c r="P70" s="127">
        <f>P63</f>
        <v>5</v>
      </c>
      <c r="Q70" s="127">
        <f>SUM(Q63:R63)</f>
        <v>2</v>
      </c>
      <c r="R70" s="88"/>
      <c r="T70" s="354" t="s">
        <v>141</v>
      </c>
      <c r="U70" s="131" t="s">
        <v>148</v>
      </c>
      <c r="V70" s="127">
        <f>V63</f>
        <v>6</v>
      </c>
      <c r="W70" s="127">
        <f>SUM(W63:X63)</f>
        <v>1</v>
      </c>
      <c r="X70" s="88"/>
      <c r="Z70" s="354" t="s">
        <v>140</v>
      </c>
      <c r="AA70" s="131" t="s">
        <v>148</v>
      </c>
      <c r="AB70" s="127">
        <f>AB63</f>
        <v>6</v>
      </c>
      <c r="AC70" s="127">
        <f>SUM(AC63:AD63)</f>
        <v>2</v>
      </c>
      <c r="AD70" s="88"/>
    </row>
    <row r="71" spans="14:30" x14ac:dyDescent="0.3">
      <c r="N71" s="354"/>
      <c r="O71" s="131" t="s">
        <v>150</v>
      </c>
      <c r="P71" s="127">
        <f>SUM(P64:P65)</f>
        <v>2</v>
      </c>
      <c r="Q71" s="127">
        <f>SUM(Q64:R65)</f>
        <v>11</v>
      </c>
      <c r="R71" s="88"/>
      <c r="T71" s="354"/>
      <c r="U71" s="131" t="s">
        <v>150</v>
      </c>
      <c r="V71" s="127">
        <f>SUM(V64:V65)</f>
        <v>1</v>
      </c>
      <c r="W71" s="127">
        <f>SUM(W64:X65)</f>
        <v>12</v>
      </c>
      <c r="X71" s="88"/>
      <c r="Z71" s="354"/>
      <c r="AA71" s="131" t="s">
        <v>150</v>
      </c>
      <c r="AB71" s="127">
        <f>SUM(AB64:AB65)</f>
        <v>1</v>
      </c>
      <c r="AC71" s="127">
        <f>SUM(AC64:AD65)</f>
        <v>11</v>
      </c>
      <c r="AD71" s="88"/>
    </row>
    <row r="72" spans="14:30" x14ac:dyDescent="0.3">
      <c r="N72" s="5"/>
      <c r="O72" s="6"/>
      <c r="P72" s="6"/>
      <c r="Q72" s="6"/>
      <c r="R72" s="41"/>
      <c r="T72" s="5"/>
      <c r="U72" s="6"/>
      <c r="V72" s="6"/>
      <c r="W72" s="6"/>
      <c r="X72" s="41"/>
      <c r="Z72" s="5"/>
      <c r="AA72" s="6"/>
      <c r="AB72" s="6"/>
      <c r="AC72" s="6"/>
      <c r="AD72" s="41"/>
    </row>
    <row r="73" spans="14:30" ht="36" x14ac:dyDescent="0.3">
      <c r="N73" s="136" t="s">
        <v>3</v>
      </c>
      <c r="O73" s="129" t="s">
        <v>84</v>
      </c>
      <c r="P73" s="132" t="s">
        <v>158</v>
      </c>
      <c r="Q73" s="132" t="s">
        <v>159</v>
      </c>
      <c r="R73" s="41"/>
      <c r="T73" s="136" t="s">
        <v>7</v>
      </c>
      <c r="U73" s="129" t="s">
        <v>84</v>
      </c>
      <c r="V73" s="132" t="s">
        <v>158</v>
      </c>
      <c r="W73" s="132" t="s">
        <v>159</v>
      </c>
      <c r="X73" s="41"/>
      <c r="Z73" s="136" t="s">
        <v>30</v>
      </c>
      <c r="AA73" s="129" t="s">
        <v>84</v>
      </c>
      <c r="AB73" s="132" t="s">
        <v>158</v>
      </c>
      <c r="AC73" s="132" t="s">
        <v>159</v>
      </c>
      <c r="AD73" s="41"/>
    </row>
    <row r="74" spans="14:30" x14ac:dyDescent="0.3">
      <c r="N74" s="137" t="s">
        <v>152</v>
      </c>
      <c r="O74" s="130">
        <f>Q71/SUM(Q70:Q71)</f>
        <v>0.84615384615384615</v>
      </c>
      <c r="P74" s="130">
        <f>((2*Q71+NORMSINV(0.975)^2)-(NORMSINV(0.975)*SQRT(NORMSINV(0.975)^2+(4*Q70*Q71)/(Q70+Q71))))/(2*(Q70+Q71+NORMSINV(0.975)^2))</f>
        <v>0.57765368980517462</v>
      </c>
      <c r="Q74" s="130">
        <f>((2*Q71+NORMSINV(0.975)^2)+(NORMSINV(0.975)*SQRT(NORMSINV(0.975)^2+(4*Q70*Q71)/(Q70+Q71))))/(2*(Q70+Q71+NORMSINV(0.975)^2))</f>
        <v>0.9567418216419189</v>
      </c>
      <c r="R74" s="41"/>
      <c r="T74" s="137" t="s">
        <v>152</v>
      </c>
      <c r="U74" s="130">
        <f>W71/SUM(W70:W71)</f>
        <v>0.92307692307692313</v>
      </c>
      <c r="V74" s="130">
        <f>((2*W71+NORMSINV(0.975)^2)-(NORMSINV(0.975)*SQRT(NORMSINV(0.975)^2+(4*W70*W71)/(W70+W71))))/(2*(W70+W71+NORMSINV(0.975)^2))</f>
        <v>0.66686049078900411</v>
      </c>
      <c r="W74" s="130">
        <f>((2*W71+NORMSINV(0.975)^2)+(NORMSINV(0.975)*SQRT(NORMSINV(0.975)^2+(4*W70*W71)/(W70+W71))))/(2*(W70+W71+NORMSINV(0.975)^2))</f>
        <v>0.9862895787574435</v>
      </c>
      <c r="X74" s="41"/>
      <c r="Z74" s="137" t="s">
        <v>152</v>
      </c>
      <c r="AA74" s="130">
        <f>AC71/SUM(AC70:AC71)</f>
        <v>0.84615384615384615</v>
      </c>
      <c r="AB74" s="130">
        <f>((2*AC71+NORMSINV(0.975)^2)-(NORMSINV(0.975)*SQRT(NORMSINV(0.975)^2+(4*AC70*AC71)/(AC70+AC71))))/(2*(AC70+AC71+NORMSINV(0.975)^2))</f>
        <v>0.57765368980517462</v>
      </c>
      <c r="AC74" s="130">
        <f>((2*AC71+NORMSINV(0.975)^2)+(NORMSINV(0.975)*SQRT(NORMSINV(0.975)^2+(4*AC70*AC71)/(AC70+AC71))))/(2*(AC70+AC71+NORMSINV(0.975)^2))</f>
        <v>0.9567418216419189</v>
      </c>
      <c r="AD74" s="41"/>
    </row>
    <row r="75" spans="14:30" x14ac:dyDescent="0.3">
      <c r="N75" s="137" t="s">
        <v>153</v>
      </c>
      <c r="O75" s="212">
        <f>P70/SUM(P70:P71)</f>
        <v>0.7142857142857143</v>
      </c>
      <c r="P75" s="130">
        <f>((2*P70+NORMSINV(0.975)^2)-(NORMSINV(0.975)*SQRT(NORMSINV(0.975)^2+(4*P70*P71)/(P70+P71))))/(2*(P70+P71+NORMSINV(0.975)^2))</f>
        <v>0.35893445183261935</v>
      </c>
      <c r="Q75" s="130">
        <f>((2*P70+NORMSINV(0.975)^2)+(NORMSINV(0.975)*SQRT(NORMSINV(0.975)^2+(4*P70*P71)/(P70+P71))))/(2*(P70+P71+NORMSINV(0.975)^2))</f>
        <v>0.91778107599594327</v>
      </c>
      <c r="R75" s="41"/>
      <c r="T75" s="137" t="s">
        <v>153</v>
      </c>
      <c r="U75" s="130">
        <f>V70/SUM(V70:V71)</f>
        <v>0.8571428571428571</v>
      </c>
      <c r="V75" s="130">
        <f>((2*V70+NORMSINV(0.975)^2)-(NORMSINV(0.975)*SQRT(NORMSINV(0.975)^2+(4*V70*V71)/(V70+V71))))/(2*(V70+V71+NORMSINV(0.975)^2))</f>
        <v>0.48687217072568117</v>
      </c>
      <c r="W75" s="130">
        <f>((2*V70+NORMSINV(0.975)^2)+(NORMSINV(0.975)*SQRT(NORMSINV(0.975)^2+(4*V70*V71)/(V70+V71))))/(2*(V70+V71+NORMSINV(0.975)^2))</f>
        <v>0.97432037565525653</v>
      </c>
      <c r="X75" s="41"/>
      <c r="Z75" s="137" t="s">
        <v>153</v>
      </c>
      <c r="AA75" s="130">
        <f>AB70/SUM(AB70:AB71)</f>
        <v>0.8571428571428571</v>
      </c>
      <c r="AB75" s="130">
        <f>((2*AB70+NORMSINV(0.975)^2)-(NORMSINV(0.975)*SQRT(NORMSINV(0.975)^2+(4*AB70*AB71)/(AB70+AB71))))/(2*(AB70+AB71+NORMSINV(0.975)^2))</f>
        <v>0.48687217072568117</v>
      </c>
      <c r="AC75" s="130">
        <f>((2*AB70+NORMSINV(0.975)^2)+(NORMSINV(0.975)*SQRT(NORMSINV(0.975)^2+(4*AB70*AB71)/(AB70+AB71))))/(2*(AB70+AB71+NORMSINV(0.975)^2))</f>
        <v>0.97432037565525653</v>
      </c>
      <c r="AD75" s="41"/>
    </row>
    <row r="76" spans="14:30" x14ac:dyDescent="0.3">
      <c r="N76" s="137" t="s">
        <v>154</v>
      </c>
      <c r="O76" s="212">
        <f>SUM(P70,Q71)/SUM(P70:Q71)</f>
        <v>0.8</v>
      </c>
      <c r="P76" s="130">
        <f>((2*(P70+Q71)+NORMSINV(0.975)^2)-(NORMSINV(0.975)*SQRT(NORMSINV(0.975)^2+(4*(P70+Q71)*(Q70+P71))/SUM(P70:Q71))))/(2*(SUM(P70:Q71)+NORMSINV(0.975)^2))</f>
        <v>0.58398256774810653</v>
      </c>
      <c r="Q76" s="130">
        <f>((2*(P70+Q71)+NORMSINV(0.975)^2)+(NORMSINV(0.975)*SQRT(NORMSINV(0.975)^2+(4*(P70+Q71)*(Q70+P71))/SUM(P70:Q71))))/(2*(SUM(P70:Q71)+NORMSINV(0.975)^2))</f>
        <v>0.91934233742020199</v>
      </c>
      <c r="R76" s="41"/>
      <c r="T76" s="137" t="s">
        <v>154</v>
      </c>
      <c r="U76" s="130">
        <f>SUM(V70,W71)/SUM(V70:W71)</f>
        <v>0.9</v>
      </c>
      <c r="V76" s="130">
        <f>((2*(V70+W71)+NORMSINV(0.975)^2)-(NORMSINV(0.975)*SQRT(NORMSINV(0.975)^2+(4*(V70+W71)*(W70+V71))/SUM(V70:W71))))/(2*(SUM(V70:W71)+NORMSINV(0.975)^2))</f>
        <v>0.69896635477151281</v>
      </c>
      <c r="W76" s="130">
        <f>((2*(V70+W71)+NORMSINV(0.975)^2)+(NORMSINV(0.975)*SQRT(NORMSINV(0.975)^2+(4*(V70+W71)*(W70+V71))/SUM(V70:W71))))/(2*(SUM(V70:W71)+NORMSINV(0.975)^2))</f>
        <v>0.97213351878623178</v>
      </c>
      <c r="X76" s="41"/>
      <c r="Z76" s="137" t="s">
        <v>154</v>
      </c>
      <c r="AA76" s="130">
        <f>SUM(AB70,AC71)/SUM(AB70:AC71)</f>
        <v>0.85</v>
      </c>
      <c r="AB76" s="130">
        <f>((2*(AB70+AC71)+NORMSINV(0.975)^2)-(NORMSINV(0.975)*SQRT(NORMSINV(0.975)^2+(4*(AB70+AC71)*(AC70+AB71))/SUM(AB70:AC71))))/(2*(SUM(AB70:AC71)+NORMSINV(0.975)^2))</f>
        <v>0.63958113525924309</v>
      </c>
      <c r="AC76" s="130">
        <f>((2*(AB70+AC71)+NORMSINV(0.975)^2)+(NORMSINV(0.975)*SQRT(NORMSINV(0.975)^2+(4*(AB70+AC71)*(AC70+AB71))/SUM(AB70:AC71))))/(2*(SUM(AB70:AC71)+NORMSINV(0.975)^2))</f>
        <v>0.94763125410378335</v>
      </c>
      <c r="AD76" s="41"/>
    </row>
    <row r="77" spans="14:30" x14ac:dyDescent="0.3">
      <c r="N77" s="5"/>
      <c r="O77" s="6"/>
      <c r="P77" s="6"/>
      <c r="Q77" s="6"/>
      <c r="R77" s="41"/>
      <c r="T77" s="5"/>
      <c r="U77" s="6"/>
      <c r="V77" s="6"/>
      <c r="W77" s="6"/>
      <c r="X77" s="41"/>
      <c r="Z77" s="5"/>
      <c r="AA77" s="6"/>
      <c r="AB77" s="6"/>
      <c r="AC77" s="6"/>
      <c r="AD77" s="41"/>
    </row>
    <row r="78" spans="14:30" ht="30.6" customHeight="1" x14ac:dyDescent="0.3">
      <c r="N78" s="356" t="s">
        <v>160</v>
      </c>
      <c r="O78" s="357"/>
      <c r="P78" s="357"/>
      <c r="Q78" s="357"/>
      <c r="R78" s="358"/>
      <c r="T78" s="351" t="s">
        <v>160</v>
      </c>
      <c r="U78" s="352"/>
      <c r="V78" s="352"/>
      <c r="W78" s="352"/>
      <c r="X78" s="353"/>
      <c r="Z78" s="351" t="s">
        <v>160</v>
      </c>
      <c r="AA78" s="352"/>
      <c r="AB78" s="352"/>
      <c r="AC78" s="352"/>
      <c r="AD78" s="353"/>
    </row>
    <row r="79" spans="14:30" x14ac:dyDescent="0.3">
      <c r="N79" s="5"/>
      <c r="O79" s="69"/>
      <c r="P79" s="359" t="s">
        <v>142</v>
      </c>
      <c r="Q79" s="360"/>
      <c r="R79" s="41"/>
      <c r="T79" s="5"/>
      <c r="U79" s="69"/>
      <c r="V79" s="359" t="s">
        <v>142</v>
      </c>
      <c r="W79" s="360"/>
      <c r="X79" s="41"/>
      <c r="Z79" s="5"/>
      <c r="AA79" s="69"/>
      <c r="AB79" s="359" t="s">
        <v>142</v>
      </c>
      <c r="AC79" s="360"/>
      <c r="AD79" s="41"/>
    </row>
    <row r="80" spans="14:30" ht="24" x14ac:dyDescent="0.3">
      <c r="N80" s="5"/>
      <c r="O80" s="128" t="s">
        <v>157</v>
      </c>
      <c r="P80" s="132" t="s">
        <v>148</v>
      </c>
      <c r="Q80" s="132" t="s">
        <v>150</v>
      </c>
      <c r="R80" s="41"/>
      <c r="T80" s="5"/>
      <c r="U80" s="128" t="s">
        <v>157</v>
      </c>
      <c r="V80" s="132" t="s">
        <v>148</v>
      </c>
      <c r="W80" s="132" t="s">
        <v>150</v>
      </c>
      <c r="X80" s="41"/>
      <c r="Z80" s="5"/>
      <c r="AA80" s="128" t="s">
        <v>157</v>
      </c>
      <c r="AB80" s="132" t="s">
        <v>148</v>
      </c>
      <c r="AC80" s="132" t="s">
        <v>150</v>
      </c>
      <c r="AD80" s="41"/>
    </row>
    <row r="81" spans="14:30" x14ac:dyDescent="0.3">
      <c r="N81" s="354" t="s">
        <v>118</v>
      </c>
      <c r="O81" s="131" t="s">
        <v>148</v>
      </c>
      <c r="P81" s="127">
        <f>SUM(P63:Q64)</f>
        <v>7</v>
      </c>
      <c r="Q81" s="127">
        <f>SUM(R63:R64)</f>
        <v>1</v>
      </c>
      <c r="R81" s="41"/>
      <c r="T81" s="354" t="s">
        <v>141</v>
      </c>
      <c r="U81" s="131" t="s">
        <v>148</v>
      </c>
      <c r="V81" s="127">
        <f>SUM(V63:W64)</f>
        <v>7</v>
      </c>
      <c r="W81" s="127">
        <f>SUM(X63:X64)</f>
        <v>1</v>
      </c>
      <c r="X81" s="41"/>
      <c r="Z81" s="354" t="s">
        <v>140</v>
      </c>
      <c r="AA81" s="131" t="s">
        <v>148</v>
      </c>
      <c r="AB81" s="127">
        <f>SUM(AB63:AC64)</f>
        <v>7</v>
      </c>
      <c r="AC81" s="127">
        <f>SUM(AD63:AD64)</f>
        <v>1</v>
      </c>
      <c r="AD81" s="41"/>
    </row>
    <row r="82" spans="14:30" x14ac:dyDescent="0.3">
      <c r="N82" s="354"/>
      <c r="O82" s="131" t="s">
        <v>150</v>
      </c>
      <c r="P82" s="127">
        <f>SUM(P65:Q65)</f>
        <v>2</v>
      </c>
      <c r="Q82" s="127">
        <f>R65</f>
        <v>10</v>
      </c>
      <c r="R82" s="41"/>
      <c r="T82" s="354"/>
      <c r="U82" s="131" t="s">
        <v>150</v>
      </c>
      <c r="V82" s="127">
        <f>SUM(V65:W65)</f>
        <v>2</v>
      </c>
      <c r="W82" s="127">
        <f>X65</f>
        <v>10</v>
      </c>
      <c r="X82" s="41"/>
      <c r="Z82" s="354"/>
      <c r="AA82" s="131" t="s">
        <v>150</v>
      </c>
      <c r="AB82" s="127">
        <f>SUM(AB65:AC65)</f>
        <v>2</v>
      </c>
      <c r="AC82" s="127">
        <f>AD65</f>
        <v>10</v>
      </c>
      <c r="AD82" s="41"/>
    </row>
    <row r="83" spans="14:30" x14ac:dyDescent="0.3">
      <c r="N83" s="5"/>
      <c r="O83" s="6"/>
      <c r="P83" s="6"/>
      <c r="Q83" s="6"/>
      <c r="R83" s="41"/>
      <c r="T83" s="5"/>
      <c r="U83" s="6"/>
      <c r="V83" s="6"/>
      <c r="W83" s="6"/>
      <c r="X83" s="41"/>
      <c r="Z83" s="5"/>
      <c r="AA83" s="6"/>
      <c r="AB83" s="6"/>
      <c r="AC83" s="6"/>
      <c r="AD83" s="41"/>
    </row>
    <row r="84" spans="14:30" ht="36" x14ac:dyDescent="0.3">
      <c r="N84" s="136" t="s">
        <v>3</v>
      </c>
      <c r="O84" s="129" t="s">
        <v>84</v>
      </c>
      <c r="P84" s="132" t="s">
        <v>158</v>
      </c>
      <c r="Q84" s="132" t="s">
        <v>159</v>
      </c>
      <c r="R84" s="41"/>
      <c r="T84" s="136" t="s">
        <v>7</v>
      </c>
      <c r="U84" s="129" t="s">
        <v>84</v>
      </c>
      <c r="V84" s="132" t="s">
        <v>158</v>
      </c>
      <c r="W84" s="132" t="s">
        <v>159</v>
      </c>
      <c r="X84" s="41"/>
      <c r="Z84" s="136" t="s">
        <v>30</v>
      </c>
      <c r="AA84" s="129" t="s">
        <v>84</v>
      </c>
      <c r="AB84" s="132" t="s">
        <v>158</v>
      </c>
      <c r="AC84" s="132" t="s">
        <v>159</v>
      </c>
      <c r="AD84" s="41"/>
    </row>
    <row r="85" spans="14:30" x14ac:dyDescent="0.3">
      <c r="N85" s="137" t="s">
        <v>152</v>
      </c>
      <c r="O85" s="130">
        <f>Q82/SUM(Q81:Q82)</f>
        <v>0.90909090909090906</v>
      </c>
      <c r="P85" s="130">
        <f>((2*Q82+NORMSINV(0.975)^2)-(NORMSINV(0.975)*SQRT(NORMSINV(0.975)^2+(4*Q81*Q82)/(Q81+Q82))))/(2*(Q81+Q82+NORMSINV(0.975)^2))</f>
        <v>0.62264156354840439</v>
      </c>
      <c r="Q85" s="130">
        <f>((2*Q82+NORMSINV(0.975)^2)+(NORMSINV(0.975)*SQRT(NORMSINV(0.975)^2+(4*Q81*Q82)/(Q81+Q82))))/(2*(Q81+Q82+NORMSINV(0.975)^2))</f>
        <v>0.98376782711411515</v>
      </c>
      <c r="R85" s="41"/>
      <c r="T85" s="137" t="s">
        <v>152</v>
      </c>
      <c r="U85" s="130">
        <f>W82/SUM(W81:W82)</f>
        <v>0.90909090909090906</v>
      </c>
      <c r="V85" s="130">
        <f>((2*W82+NORMSINV(0.975)^2)-(NORMSINV(0.975)*SQRT(NORMSINV(0.975)^2+(4*W81*W82)/(W81+W82))))/(2*(W81+W82+NORMSINV(0.975)^2))</f>
        <v>0.62264156354840439</v>
      </c>
      <c r="W85" s="130">
        <f>((2*W82+NORMSINV(0.975)^2)+(NORMSINV(0.975)*SQRT(NORMSINV(0.975)^2+(4*W81*W82)/(W81+W82))))/(2*(W81+W82+NORMSINV(0.975)^2))</f>
        <v>0.98376782711411515</v>
      </c>
      <c r="X85" s="41"/>
      <c r="Z85" s="137" t="s">
        <v>152</v>
      </c>
      <c r="AA85" s="130">
        <f>AC82/SUM(AC81:AC82)</f>
        <v>0.90909090909090906</v>
      </c>
      <c r="AB85" s="130">
        <f>((2*AC82+NORMSINV(0.975)^2)-(NORMSINV(0.975)*SQRT(NORMSINV(0.975)^2+(4*AC81*AC82)/(AC81+AC82))))/(2*(AC81+AC82+NORMSINV(0.975)^2))</f>
        <v>0.62264156354840439</v>
      </c>
      <c r="AC85" s="130">
        <f>((2*AC82+NORMSINV(0.975)^2)+(NORMSINV(0.975)*SQRT(NORMSINV(0.975)^2+(4*AC81*AC82)/(AC81+AC82))))/(2*(AC81+AC82+NORMSINV(0.975)^2))</f>
        <v>0.98376782711411515</v>
      </c>
      <c r="AD85" s="41"/>
    </row>
    <row r="86" spans="14:30" x14ac:dyDescent="0.3">
      <c r="N86" s="137" t="s">
        <v>153</v>
      </c>
      <c r="O86" s="130">
        <f>P81/SUM(P81:P82)</f>
        <v>0.77777777777777779</v>
      </c>
      <c r="P86" s="130">
        <f>((2*P81+NORMSINV(0.975)^2)-(NORMSINV(0.975)*SQRT(NORMSINV(0.975)^2+(4*P81*P82)/(P81+P82))))/(2*(P81+P82+NORMSINV(0.975)^2))</f>
        <v>0.45258896910698887</v>
      </c>
      <c r="Q86" s="130">
        <f>((2*P81+NORMSINV(0.975)^2)+(NORMSINV(0.975)*SQRT(NORMSINV(0.975)^2+(4*P81*P82)/(P81+P82))))/(2*(P81+P82+NORMSINV(0.975)^2))</f>
        <v>0.93677489288215321</v>
      </c>
      <c r="R86" s="41"/>
      <c r="T86" s="137" t="s">
        <v>153</v>
      </c>
      <c r="U86" s="130">
        <f>V81/SUM(V81:V82)</f>
        <v>0.77777777777777779</v>
      </c>
      <c r="V86" s="130">
        <f>((2*V81+NORMSINV(0.975)^2)-(NORMSINV(0.975)*SQRT(NORMSINV(0.975)^2+(4*V81*V82)/(V81+V82))))/(2*(V81+V82+NORMSINV(0.975)^2))</f>
        <v>0.45258896910698887</v>
      </c>
      <c r="W86" s="130">
        <f>((2*V81+NORMSINV(0.975)^2)+(NORMSINV(0.975)*SQRT(NORMSINV(0.975)^2+(4*V81*V82)/(V81+V82))))/(2*(V81+V82+NORMSINV(0.975)^2))</f>
        <v>0.93677489288215321</v>
      </c>
      <c r="X86" s="41"/>
      <c r="Z86" s="137" t="s">
        <v>153</v>
      </c>
      <c r="AA86" s="130">
        <f>AB81/SUM(AB81:AB82)</f>
        <v>0.77777777777777779</v>
      </c>
      <c r="AB86" s="130">
        <f>((2*AB81+NORMSINV(0.975)^2)-(NORMSINV(0.975)*SQRT(NORMSINV(0.975)^2+(4*AB81*AB82)/(AB81+AB82))))/(2*(AB81+AB82+NORMSINV(0.975)^2))</f>
        <v>0.45258896910698887</v>
      </c>
      <c r="AC86" s="130">
        <f>((2*AB81+NORMSINV(0.975)^2)+(NORMSINV(0.975)*SQRT(NORMSINV(0.975)^2+(4*AB81*AB82)/(AB81+AB82))))/(2*(AB81+AB82+NORMSINV(0.975)^2))</f>
        <v>0.93677489288215321</v>
      </c>
      <c r="AD86" s="41"/>
    </row>
    <row r="87" spans="14:30" ht="15" thickBot="1" x14ac:dyDescent="0.35">
      <c r="N87" s="138" t="s">
        <v>154</v>
      </c>
      <c r="O87" s="139">
        <f>SUM(P81,Q82)/SUM(P81:Q82)</f>
        <v>0.85</v>
      </c>
      <c r="P87" s="139">
        <f>((2*(P81+Q82)+NORMSINV(0.975)^2)-(NORMSINV(0.975)*SQRT(NORMSINV(0.975)^2+(4*(P81+Q82)*(Q81+P82))/SUM(P81:Q82))))/(2*(SUM(P81:Q82)+NORMSINV(0.975)^2))</f>
        <v>0.63958113525924309</v>
      </c>
      <c r="Q87" s="139">
        <f>((2*(P81+Q82)+NORMSINV(0.975)^2)+(NORMSINV(0.975)*SQRT(NORMSINV(0.975)^2+(4*(P81+Q82)*(Q81+P82))/SUM(P81:Q82))))/(2*(SUM(P81:Q82)+NORMSINV(0.975)^2))</f>
        <v>0.94763125410378335</v>
      </c>
      <c r="R87" s="42"/>
      <c r="T87" s="138" t="s">
        <v>154</v>
      </c>
      <c r="U87" s="139">
        <f>SUM(V81,W82)/SUM(V81:W82)</f>
        <v>0.85</v>
      </c>
      <c r="V87" s="139">
        <f>((2*(V81+W82)+NORMSINV(0.975)^2)-(NORMSINV(0.975)*SQRT(NORMSINV(0.975)^2+(4*(V81+W82)*(W81+V82))/SUM(V81:W82))))/(2*(SUM(V81:W82)+NORMSINV(0.975)^2))</f>
        <v>0.63958113525924309</v>
      </c>
      <c r="W87" s="139">
        <f>((2*(V81+W82)+NORMSINV(0.975)^2)+(NORMSINV(0.975)*SQRT(NORMSINV(0.975)^2+(4*(V81+W82)*(W81+V82))/SUM(V81:W82))))/(2*(SUM(V81:W82)+NORMSINV(0.975)^2))</f>
        <v>0.94763125410378335</v>
      </c>
      <c r="X87" s="42"/>
      <c r="Z87" s="138" t="s">
        <v>154</v>
      </c>
      <c r="AA87" s="139">
        <f>SUM(AB81,AC82)/SUM(AB81:AC82)</f>
        <v>0.85</v>
      </c>
      <c r="AB87" s="139">
        <f>((2*(AB81+AC82)+NORMSINV(0.975)^2)-(NORMSINV(0.975)*SQRT(NORMSINV(0.975)^2+(4*(AB81+AC82)*(AC81+AB82))/SUM(AB81:AC82))))/(2*(SUM(AB81:AC82)+NORMSINV(0.975)^2))</f>
        <v>0.63958113525924309</v>
      </c>
      <c r="AC87" s="139">
        <f>((2*(AB81+AC82)+NORMSINV(0.975)^2)+(NORMSINV(0.975)*SQRT(NORMSINV(0.975)^2+(4*(AB81+AC82)*(AC81+AB82))/SUM(AB81:AC82))))/(2*(SUM(AB81:AC82)+NORMSINV(0.975)^2))</f>
        <v>0.94763125410378335</v>
      </c>
      <c r="AD87" s="42"/>
    </row>
  </sheetData>
  <mergeCells count="66">
    <mergeCell ref="P79:Q79"/>
    <mergeCell ref="V79:W79"/>
    <mergeCell ref="AB79:AC79"/>
    <mergeCell ref="N81:N82"/>
    <mergeCell ref="T81:T82"/>
    <mergeCell ref="Z81:Z82"/>
    <mergeCell ref="AB68:AC68"/>
    <mergeCell ref="N70:N71"/>
    <mergeCell ref="T70:T71"/>
    <mergeCell ref="Z70:Z71"/>
    <mergeCell ref="N78:R78"/>
    <mergeCell ref="T78:X78"/>
    <mergeCell ref="Z78:AD78"/>
    <mergeCell ref="N63:N65"/>
    <mergeCell ref="T63:T65"/>
    <mergeCell ref="Z63:Z65"/>
    <mergeCell ref="N67:R67"/>
    <mergeCell ref="P68:Q68"/>
    <mergeCell ref="V68:W68"/>
    <mergeCell ref="N41:N42"/>
    <mergeCell ref="T41:T42"/>
    <mergeCell ref="Z41:Z42"/>
    <mergeCell ref="AB61:AD61"/>
    <mergeCell ref="N49:R49"/>
    <mergeCell ref="T49:X49"/>
    <mergeCell ref="Z49:AD49"/>
    <mergeCell ref="P50:Q50"/>
    <mergeCell ref="V50:W50"/>
    <mergeCell ref="AB50:AC50"/>
    <mergeCell ref="N52:N53"/>
    <mergeCell ref="T52:T53"/>
    <mergeCell ref="Z52:Z53"/>
    <mergeCell ref="P61:R61"/>
    <mergeCell ref="V61:X61"/>
    <mergeCell ref="P39:Q39"/>
    <mergeCell ref="V39:W39"/>
    <mergeCell ref="AB39:AC39"/>
    <mergeCell ref="P32:R32"/>
    <mergeCell ref="V32:X32"/>
    <mergeCell ref="AB32:AD32"/>
    <mergeCell ref="T34:T36"/>
    <mergeCell ref="Z34:Z36"/>
    <mergeCell ref="V21:W21"/>
    <mergeCell ref="Z23:Z24"/>
    <mergeCell ref="AB21:AC21"/>
    <mergeCell ref="T23:T24"/>
    <mergeCell ref="N38:R38"/>
    <mergeCell ref="N34:N36"/>
    <mergeCell ref="N23:N24"/>
    <mergeCell ref="P21:Q21"/>
    <mergeCell ref="P3:R3"/>
    <mergeCell ref="T20:X20"/>
    <mergeCell ref="AB3:AD3"/>
    <mergeCell ref="N5:N7"/>
    <mergeCell ref="N12:N13"/>
    <mergeCell ref="P10:Q10"/>
    <mergeCell ref="N20:R20"/>
    <mergeCell ref="N9:R9"/>
    <mergeCell ref="Z5:Z7"/>
    <mergeCell ref="AB10:AC10"/>
    <mergeCell ref="Z12:Z13"/>
    <mergeCell ref="Z20:AD20"/>
    <mergeCell ref="V3:X3"/>
    <mergeCell ref="T5:T7"/>
    <mergeCell ref="V10:W10"/>
    <mergeCell ref="T12:T13"/>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9AD0-9A09-4D2B-B081-22BFEE6EFE7D}">
  <sheetPr>
    <tabColor rgb="FFFFC000"/>
  </sheetPr>
  <dimension ref="A1:T69"/>
  <sheetViews>
    <sheetView zoomScale="70" zoomScaleNormal="70" workbookViewId="0">
      <selection activeCell="Q50" sqref="Q50"/>
    </sheetView>
  </sheetViews>
  <sheetFormatPr defaultRowHeight="14.4" x14ac:dyDescent="0.3"/>
  <cols>
    <col min="1" max="1" width="24.109375" customWidth="1"/>
    <col min="2" max="2" width="33.109375" customWidth="1"/>
    <col min="3" max="3" width="9.88671875" style="2" customWidth="1"/>
    <col min="4" max="4" width="13.21875" customWidth="1"/>
    <col min="5" max="5" width="8.6640625" customWidth="1"/>
    <col min="6" max="7" width="10.44140625" customWidth="1"/>
    <col min="8" max="8" width="7.88671875" customWidth="1"/>
    <col min="9" max="9" width="8.88671875" customWidth="1"/>
    <col min="10" max="12" width="10.109375" customWidth="1"/>
    <col min="13" max="13" width="9.88671875" customWidth="1"/>
    <col min="14" max="14" width="10.21875" customWidth="1"/>
    <col min="15" max="15" width="12" customWidth="1"/>
    <col min="16" max="16" width="12.33203125" customWidth="1"/>
  </cols>
  <sheetData>
    <row r="1" spans="1:20" ht="54" customHeight="1" thickBot="1" x14ac:dyDescent="0.35">
      <c r="A1" s="93" t="s">
        <v>174</v>
      </c>
      <c r="B1" s="94" t="s">
        <v>94</v>
      </c>
      <c r="C1" s="94" t="s">
        <v>97</v>
      </c>
      <c r="D1" s="94" t="s">
        <v>177</v>
      </c>
      <c r="E1" s="94" t="s">
        <v>98</v>
      </c>
      <c r="F1" s="95" t="s">
        <v>100</v>
      </c>
      <c r="G1" s="95" t="s">
        <v>101</v>
      </c>
      <c r="H1" s="96" t="s">
        <v>178</v>
      </c>
      <c r="I1" s="96" t="s">
        <v>179</v>
      </c>
      <c r="J1" s="95" t="s">
        <v>99</v>
      </c>
      <c r="K1" s="97" t="s">
        <v>103</v>
      </c>
      <c r="L1" s="97" t="s">
        <v>104</v>
      </c>
      <c r="M1" s="98" t="s">
        <v>178</v>
      </c>
      <c r="N1" s="98" t="s">
        <v>179</v>
      </c>
      <c r="O1" s="97" t="s">
        <v>102</v>
      </c>
      <c r="P1" s="99" t="s">
        <v>180</v>
      </c>
      <c r="R1" s="203"/>
      <c r="S1" s="203"/>
      <c r="T1" s="6"/>
    </row>
    <row r="2" spans="1:20" ht="15" thickTop="1" x14ac:dyDescent="0.3">
      <c r="A2" s="140" t="s">
        <v>0</v>
      </c>
      <c r="B2" s="141" t="s">
        <v>95</v>
      </c>
      <c r="C2" s="142">
        <f>COL!G2</f>
        <v>1500</v>
      </c>
      <c r="D2" s="143">
        <f>COL!H2</f>
        <v>1498.6322735141034</v>
      </c>
      <c r="E2" s="144">
        <f>ABS(D2-C2)</f>
        <v>1.3677264858965827</v>
      </c>
      <c r="F2" s="145">
        <f>COL!M2</f>
        <v>1452.6093648937319</v>
      </c>
      <c r="G2" s="145">
        <f>COL!N2</f>
        <v>1541.7734455411487</v>
      </c>
      <c r="H2" s="143">
        <f>F2-C2</f>
        <v>-47.390635106268064</v>
      </c>
      <c r="I2" s="143">
        <f>G2-C2</f>
        <v>41.773445541148703</v>
      </c>
      <c r="J2" s="144">
        <f>MAX(ABS(H2),ABS(I2))</f>
        <v>47.390635106268064</v>
      </c>
      <c r="K2" s="145">
        <f>COL!Q2</f>
        <v>1430.2695432176274</v>
      </c>
      <c r="L2" s="145">
        <f>COL!R2</f>
        <v>1506.6125093450466</v>
      </c>
      <c r="M2" s="146">
        <f>COL!Q2-SummaryQuantCOL!C2</f>
        <v>-69.730456782372585</v>
      </c>
      <c r="N2" s="146">
        <f>COL!R2-SummaryQuantCOL!C2</f>
        <v>6.6125093450466466</v>
      </c>
      <c r="O2" s="144">
        <f>MAX(ABS(M2),ABS(N2))</f>
        <v>69.730456782372585</v>
      </c>
      <c r="P2" s="147" t="str">
        <f>IF(OR(E2&lt;J2,E2&lt;O2),"YES","NO")</f>
        <v>YES</v>
      </c>
    </row>
    <row r="3" spans="1:20" x14ac:dyDescent="0.3">
      <c r="A3" s="148"/>
      <c r="B3" s="149" t="s">
        <v>96</v>
      </c>
      <c r="C3" s="150">
        <f>COL!G3</f>
        <v>6000</v>
      </c>
      <c r="D3" s="151">
        <f>COL!H3</f>
        <v>6207.9926266582879</v>
      </c>
      <c r="E3" s="152">
        <f>ABS(D3-C3)</f>
        <v>207.99262665828792</v>
      </c>
      <c r="F3" s="153">
        <f>COL!M3</f>
        <v>5943.635462835301</v>
      </c>
      <c r="G3" s="153">
        <f>COL!N3</f>
        <v>6128.5914072617688</v>
      </c>
      <c r="H3" s="151">
        <f>F3-C3</f>
        <v>-56.364537164698959</v>
      </c>
      <c r="I3" s="151">
        <f>G3-C3</f>
        <v>128.59140726176884</v>
      </c>
      <c r="J3" s="152">
        <f>MAX(ABS(H3),ABS(I3))</f>
        <v>128.59140726176884</v>
      </c>
      <c r="K3" s="153">
        <f>COL!Q3</f>
        <v>5768.8278458077029</v>
      </c>
      <c r="L3" s="153">
        <f>COL!R3</f>
        <v>5931.1831560905512</v>
      </c>
      <c r="M3" s="154">
        <f>COL!Q3-SummaryQuantCOL!C3</f>
        <v>-231.17215419229706</v>
      </c>
      <c r="N3" s="154">
        <f>COL!R3-SummaryQuantCOL!C3</f>
        <v>-68.816843909448835</v>
      </c>
      <c r="O3" s="152">
        <f>MAX(ABS(M3),ABS(N3))</f>
        <v>231.17215419229706</v>
      </c>
      <c r="P3" s="155" t="str">
        <f>IF(OR(E3&lt;J3,E3&lt;O3),"YES","NO")</f>
        <v>YES</v>
      </c>
    </row>
    <row r="4" spans="1:20" x14ac:dyDescent="0.3">
      <c r="A4" s="156" t="s">
        <v>12</v>
      </c>
      <c r="B4" s="157" t="s">
        <v>95</v>
      </c>
      <c r="C4" s="158">
        <f>COL!G4</f>
        <v>1300</v>
      </c>
      <c r="D4" s="159">
        <f>COL!H4</f>
        <v>1338.8521939175387</v>
      </c>
      <c r="E4" s="160">
        <f>ABS(D4-C4)</f>
        <v>38.852193917538671</v>
      </c>
      <c r="F4" s="161">
        <f>COL!M4</f>
        <v>1162.6914002713625</v>
      </c>
      <c r="G4" s="161">
        <f>COL!N4</f>
        <v>1527.1746710260279</v>
      </c>
      <c r="H4" s="159">
        <f>F4-C4</f>
        <v>-137.30859972863755</v>
      </c>
      <c r="I4" s="159">
        <f>G4-C4</f>
        <v>227.17467102602791</v>
      </c>
      <c r="J4" s="160">
        <f>MAX(ABS(H4),ABS(I4))</f>
        <v>227.17467102602791</v>
      </c>
      <c r="K4" s="161">
        <f>COL!Q4</f>
        <v>1160.493635258297</v>
      </c>
      <c r="L4" s="161">
        <f>COL!R4</f>
        <v>1725.8102908549597</v>
      </c>
      <c r="M4" s="162">
        <f>COL!Q4-SummaryQuantCOL!C4</f>
        <v>-139.50636474170301</v>
      </c>
      <c r="N4" s="162">
        <f>COL!R4-SummaryQuantCOL!C4</f>
        <v>425.8102908549597</v>
      </c>
      <c r="O4" s="160">
        <f>MAX(ABS(M4),ABS(N4))</f>
        <v>425.8102908549597</v>
      </c>
      <c r="P4" s="163" t="str">
        <f>IF(OR(E4&lt;J4,E4&lt;O4),"YES","NO")</f>
        <v>YES</v>
      </c>
    </row>
    <row r="5" spans="1:20" x14ac:dyDescent="0.3">
      <c r="A5" s="148"/>
      <c r="B5" s="149" t="s">
        <v>96</v>
      </c>
      <c r="C5" s="164">
        <f>COL!G5</f>
        <v>2200</v>
      </c>
      <c r="D5" s="151">
        <f>COL!H5</f>
        <v>2099.9716144880504</v>
      </c>
      <c r="E5" s="152">
        <f>ABS(D5-C5)</f>
        <v>100.02838551194964</v>
      </c>
      <c r="F5" s="153">
        <f>COL!M5</f>
        <v>2012.8110843562067</v>
      </c>
      <c r="G5" s="153">
        <f>COL!N5</f>
        <v>2487.9006291363262</v>
      </c>
      <c r="H5" s="151">
        <f>F5-C5</f>
        <v>-187.18891564379328</v>
      </c>
      <c r="I5" s="151">
        <f>G5-C5</f>
        <v>287.90062913632619</v>
      </c>
      <c r="J5" s="152">
        <f>MAX(ABS(H5),ABS(I5))</f>
        <v>287.90062913632619</v>
      </c>
      <c r="K5" s="153">
        <f>COL!Q5</f>
        <v>1950.4515455687997</v>
      </c>
      <c r="L5" s="153">
        <f>COL!R5</f>
        <v>2681.733816830344</v>
      </c>
      <c r="M5" s="154">
        <f>COL!Q5-SummaryQuantCOL!C5</f>
        <v>-249.5484544312003</v>
      </c>
      <c r="N5" s="154">
        <f>COL!R5-SummaryQuantCOL!C5</f>
        <v>481.73381683034404</v>
      </c>
      <c r="O5" s="152">
        <f>MAX(ABS(M5),ABS(N5))</f>
        <v>481.73381683034404</v>
      </c>
      <c r="P5" s="155" t="str">
        <f>IF(OR(E5&lt;J5,E5&lt;O5),"YES","NO")</f>
        <v>YES</v>
      </c>
    </row>
    <row r="6" spans="1:20" x14ac:dyDescent="0.3">
      <c r="A6" s="165" t="s">
        <v>14</v>
      </c>
      <c r="B6" s="166" t="s">
        <v>106</v>
      </c>
      <c r="C6" s="167"/>
      <c r="D6" s="168"/>
      <c r="E6" s="168"/>
      <c r="F6" s="168"/>
      <c r="G6" s="168"/>
      <c r="H6" s="168"/>
      <c r="I6" s="168"/>
      <c r="J6" s="168"/>
      <c r="K6" s="168"/>
      <c r="L6" s="168"/>
      <c r="M6" s="168"/>
      <c r="N6" s="168"/>
      <c r="O6" s="168"/>
      <c r="P6" s="169"/>
    </row>
    <row r="7" spans="1:20" x14ac:dyDescent="0.3">
      <c r="A7" s="170"/>
      <c r="B7" s="171" t="s">
        <v>105</v>
      </c>
      <c r="C7" s="172"/>
      <c r="D7" s="173"/>
      <c r="E7" s="173"/>
      <c r="F7" s="173"/>
      <c r="G7" s="173"/>
      <c r="H7" s="173"/>
      <c r="I7" s="173"/>
      <c r="J7" s="173"/>
      <c r="K7" s="173"/>
      <c r="L7" s="173"/>
      <c r="M7" s="173"/>
      <c r="N7" s="173"/>
      <c r="O7" s="173"/>
      <c r="P7" s="174"/>
    </row>
    <row r="8" spans="1:20" x14ac:dyDescent="0.3">
      <c r="A8" s="165" t="s">
        <v>15</v>
      </c>
      <c r="B8" s="157" t="s">
        <v>95</v>
      </c>
      <c r="C8" s="175">
        <f>COL!G8</f>
        <v>2800</v>
      </c>
      <c r="D8" s="159">
        <f>COL!H8</f>
        <v>2838.3726232700587</v>
      </c>
      <c r="E8" s="160">
        <f>ABS(D8-C8)</f>
        <v>38.372623270058739</v>
      </c>
      <c r="F8" s="161">
        <f>COL!M8</f>
        <v>2810.4311026117689</v>
      </c>
      <c r="G8" s="161">
        <f>COL!N8</f>
        <v>2905.3104240700786</v>
      </c>
      <c r="H8" s="159">
        <f>F8-C8</f>
        <v>10.431102611768893</v>
      </c>
      <c r="I8" s="159">
        <f>G8-C8</f>
        <v>105.31042407007862</v>
      </c>
      <c r="J8" s="160">
        <f>MAX(ABS(H8),ABS(I8))</f>
        <v>105.31042407007862</v>
      </c>
      <c r="K8" s="161">
        <f>COL!Q8</f>
        <v>2840.3338596759131</v>
      </c>
      <c r="L8" s="161">
        <f>COL!R8</f>
        <v>3009.2728377736235</v>
      </c>
      <c r="M8" s="162">
        <f>COL!Q8-SummaryQuantCOL!C8</f>
        <v>40.333859675913118</v>
      </c>
      <c r="N8" s="162">
        <f>COL!R8-SummaryQuantCOL!C8</f>
        <v>209.27283777362345</v>
      </c>
      <c r="O8" s="160">
        <f>MAX(ABS(M8),ABS(N8))</f>
        <v>209.27283777362345</v>
      </c>
      <c r="P8" s="163" t="str">
        <f>IF(OR(E8&lt;J8,E8&lt;O8),"YES","NO")</f>
        <v>YES</v>
      </c>
    </row>
    <row r="9" spans="1:20" x14ac:dyDescent="0.3">
      <c r="A9" s="170"/>
      <c r="B9" s="149" t="s">
        <v>96</v>
      </c>
      <c r="C9" s="150">
        <f>COL!G9</f>
        <v>8200</v>
      </c>
      <c r="D9" s="151">
        <f>COL!H9</f>
        <v>8304.8276119011061</v>
      </c>
      <c r="E9" s="152">
        <f>ABS(D9-C9)</f>
        <v>104.82761190110614</v>
      </c>
      <c r="F9" s="153">
        <f>COL!M9</f>
        <v>8185.6268072763633</v>
      </c>
      <c r="G9" s="153">
        <f>COL!N9</f>
        <v>8348.8259588476121</v>
      </c>
      <c r="H9" s="151">
        <f>F9-C9</f>
        <v>-14.373192723636748</v>
      </c>
      <c r="I9" s="151">
        <f>G9-C9</f>
        <v>148.82595884761213</v>
      </c>
      <c r="J9" s="152">
        <f>MAX(ABS(H9),ABS(I9))</f>
        <v>148.82595884761213</v>
      </c>
      <c r="K9" s="153">
        <f>COL!Q9</f>
        <v>8017.3338550790031</v>
      </c>
      <c r="L9" s="153">
        <f>COL!R9</f>
        <v>8303.1272304157228</v>
      </c>
      <c r="M9" s="154">
        <f>COL!Q9-SummaryQuantCOL!C9</f>
        <v>-182.66614492099689</v>
      </c>
      <c r="N9" s="154">
        <f>COL!R9-SummaryQuantCOL!C9</f>
        <v>103.12723041572281</v>
      </c>
      <c r="O9" s="152">
        <f>MAX(ABS(M9),ABS(N9))</f>
        <v>182.66614492099689</v>
      </c>
      <c r="P9" s="155" t="str">
        <f>IF(OR(E9&lt;J9,E9&lt;O9),"YES","NO")</f>
        <v>YES</v>
      </c>
    </row>
    <row r="10" spans="1:20" ht="14.4" customHeight="1" x14ac:dyDescent="0.3">
      <c r="A10" s="165" t="s">
        <v>16</v>
      </c>
      <c r="B10" s="166" t="s">
        <v>106</v>
      </c>
      <c r="C10" s="167"/>
      <c r="D10" s="168"/>
      <c r="E10" s="168"/>
      <c r="F10" s="168"/>
      <c r="G10" s="168"/>
      <c r="H10" s="168"/>
      <c r="I10" s="168"/>
      <c r="J10" s="168"/>
      <c r="K10" s="168"/>
      <c r="L10" s="168"/>
      <c r="M10" s="168"/>
      <c r="N10" s="168"/>
      <c r="O10" s="168"/>
      <c r="P10" s="169"/>
    </row>
    <row r="11" spans="1:20" ht="13.2" customHeight="1" x14ac:dyDescent="0.3">
      <c r="A11" s="170"/>
      <c r="B11" s="171" t="s">
        <v>105</v>
      </c>
      <c r="C11" s="172"/>
      <c r="D11" s="173"/>
      <c r="E11" s="173"/>
      <c r="F11" s="173"/>
      <c r="G11" s="173"/>
      <c r="H11" s="173"/>
      <c r="I11" s="173"/>
      <c r="J11" s="173"/>
      <c r="K11" s="173"/>
      <c r="L11" s="173"/>
      <c r="M11" s="173"/>
      <c r="N11" s="173"/>
      <c r="O11" s="173"/>
      <c r="P11" s="174"/>
    </row>
    <row r="12" spans="1:20" x14ac:dyDescent="0.3">
      <c r="A12" s="165" t="s">
        <v>17</v>
      </c>
      <c r="B12" s="157" t="s">
        <v>95</v>
      </c>
      <c r="C12" s="175">
        <f>COL!G12</f>
        <v>2</v>
      </c>
      <c r="D12" s="159">
        <f>COL!H12</f>
        <v>1.5476440807434677</v>
      </c>
      <c r="E12" s="160">
        <f t="shared" ref="E12:E23" si="0">ABS(D12-C12)</f>
        <v>0.45235591925653229</v>
      </c>
      <c r="F12" s="161">
        <f>COL!M12</f>
        <v>-1.0644285144339078</v>
      </c>
      <c r="G12" s="161">
        <f>COL!N12</f>
        <v>0.65329238489569508</v>
      </c>
      <c r="H12" s="159">
        <f t="shared" ref="H12:H23" si="1">F12-C12</f>
        <v>-3.0644285144339078</v>
      </c>
      <c r="I12" s="159">
        <f t="shared" ref="I12:I23" si="2">G12-C12</f>
        <v>-1.3467076151043049</v>
      </c>
      <c r="J12" s="160">
        <f t="shared" ref="J12:J23" si="3">MAX(ABS(H12),ABS(I12))</f>
        <v>3.0644285144339078</v>
      </c>
      <c r="K12" s="161">
        <f>COL!Q12</f>
        <v>13.734304586452826</v>
      </c>
      <c r="L12" s="161">
        <f>COL!R12</f>
        <v>18.526637008191763</v>
      </c>
      <c r="M12" s="162">
        <f>COL!Q12-SummaryQuantCOL!C12</f>
        <v>11.734304586452826</v>
      </c>
      <c r="N12" s="162">
        <f>COL!R12-SummaryQuantCOL!C12</f>
        <v>16.526637008191763</v>
      </c>
      <c r="O12" s="160">
        <f t="shared" ref="O12:O23" si="4">MAX(ABS(M12),ABS(N12))</f>
        <v>16.526637008191763</v>
      </c>
      <c r="P12" s="163" t="str">
        <f t="shared" ref="P12:P23" si="5">IF(OR(E12&lt;J12,E12&lt;O12),"YES","NO")</f>
        <v>YES</v>
      </c>
    </row>
    <row r="13" spans="1:20" x14ac:dyDescent="0.3">
      <c r="A13" s="170"/>
      <c r="B13" s="149" t="s">
        <v>96</v>
      </c>
      <c r="C13" s="150">
        <f>COL!G13</f>
        <v>30</v>
      </c>
      <c r="D13" s="151">
        <f>COL!H13</f>
        <v>23.999335518888191</v>
      </c>
      <c r="E13" s="152">
        <f t="shared" si="0"/>
        <v>6.0006644811118086</v>
      </c>
      <c r="F13" s="153">
        <f>COL!M13</f>
        <v>17.967020653559342</v>
      </c>
      <c r="G13" s="153">
        <f>COL!N13</f>
        <v>23.422983092203491</v>
      </c>
      <c r="H13" s="151">
        <f t="shared" si="1"/>
        <v>-12.032979346440658</v>
      </c>
      <c r="I13" s="151">
        <f t="shared" si="2"/>
        <v>-6.5770169077965086</v>
      </c>
      <c r="J13" s="152">
        <f t="shared" si="3"/>
        <v>12.032979346440658</v>
      </c>
      <c r="K13" s="153">
        <f>COL!Q13</f>
        <v>30.745146857199991</v>
      </c>
      <c r="L13" s="153">
        <f>COL!R13</f>
        <v>44.412648572696632</v>
      </c>
      <c r="M13" s="154">
        <f>COL!Q13-SummaryQuantCOL!C13</f>
        <v>0.74514685719999108</v>
      </c>
      <c r="N13" s="154">
        <f>COL!R13-SummaryQuantCOL!C13</f>
        <v>14.412648572696632</v>
      </c>
      <c r="O13" s="152">
        <f t="shared" si="4"/>
        <v>14.412648572696632</v>
      </c>
      <c r="P13" s="155" t="str">
        <f t="shared" si="5"/>
        <v>YES</v>
      </c>
    </row>
    <row r="14" spans="1:20" x14ac:dyDescent="0.3">
      <c r="A14" s="165" t="s">
        <v>19</v>
      </c>
      <c r="B14" s="157" t="s">
        <v>95</v>
      </c>
      <c r="C14" s="175">
        <f>COL!G14</f>
        <v>0.5</v>
      </c>
      <c r="D14" s="159">
        <f>COL!H14</f>
        <v>0.70776867257741349</v>
      </c>
      <c r="E14" s="160">
        <f t="shared" si="0"/>
        <v>0.20776867257741349</v>
      </c>
      <c r="F14" s="161">
        <f>COL!M14</f>
        <v>1.0072281529614535E-2</v>
      </c>
      <c r="G14" s="161">
        <f>COL!N14</f>
        <v>0.41263375087180681</v>
      </c>
      <c r="H14" s="159">
        <f t="shared" si="1"/>
        <v>-0.48992771847038546</v>
      </c>
      <c r="I14" s="159">
        <f t="shared" si="2"/>
        <v>-8.7366249128193185E-2</v>
      </c>
      <c r="J14" s="160">
        <f t="shared" si="3"/>
        <v>0.48992771847038546</v>
      </c>
      <c r="K14" s="161">
        <f>COL!Q14</f>
        <v>1.9112068965517199</v>
      </c>
      <c r="L14" s="161">
        <f>COL!R14</f>
        <v>3.5237068965517251</v>
      </c>
      <c r="M14" s="162">
        <f>COL!Q14-SummaryQuantCOL!C14</f>
        <v>1.4112068965517199</v>
      </c>
      <c r="N14" s="162">
        <f>COL!R14-SummaryQuantCOL!C14</f>
        <v>3.0237068965517251</v>
      </c>
      <c r="O14" s="160">
        <f t="shared" si="4"/>
        <v>3.0237068965517251</v>
      </c>
      <c r="P14" s="163" t="str">
        <f t="shared" si="5"/>
        <v>YES</v>
      </c>
    </row>
    <row r="15" spans="1:20" x14ac:dyDescent="0.3">
      <c r="A15" s="170"/>
      <c r="B15" s="149" t="s">
        <v>96</v>
      </c>
      <c r="C15" s="150">
        <f>COL!G15</f>
        <v>8</v>
      </c>
      <c r="D15" s="151">
        <f>COL!H15</f>
        <v>8.165786707996066</v>
      </c>
      <c r="E15" s="152">
        <f t="shared" si="0"/>
        <v>0.16578670799606599</v>
      </c>
      <c r="F15" s="153">
        <f>COL!M15</f>
        <v>5.0993579958153328</v>
      </c>
      <c r="G15" s="153">
        <f>COL!N15</f>
        <v>6.4414257282346226</v>
      </c>
      <c r="H15" s="151">
        <f t="shared" si="1"/>
        <v>-2.9006420041846672</v>
      </c>
      <c r="I15" s="151">
        <f t="shared" si="2"/>
        <v>-1.5585742717653774</v>
      </c>
      <c r="J15" s="152">
        <f t="shared" si="3"/>
        <v>2.9006420041846672</v>
      </c>
      <c r="K15" s="153">
        <f>COL!Q15</f>
        <v>7.5362068965517199</v>
      </c>
      <c r="L15" s="153">
        <f>COL!R15</f>
        <v>12.3168103448276</v>
      </c>
      <c r="M15" s="154">
        <f>COL!Q15-SummaryQuantCOL!C15</f>
        <v>-0.46379310344828006</v>
      </c>
      <c r="N15" s="154">
        <f>COL!R15-SummaryQuantCOL!C15</f>
        <v>4.3168103448275996</v>
      </c>
      <c r="O15" s="152">
        <f t="shared" si="4"/>
        <v>4.3168103448275996</v>
      </c>
      <c r="P15" s="155" t="str">
        <f t="shared" si="5"/>
        <v>YES</v>
      </c>
    </row>
    <row r="16" spans="1:20" x14ac:dyDescent="0.3">
      <c r="A16" s="165" t="s">
        <v>20</v>
      </c>
      <c r="B16" s="157" t="s">
        <v>95</v>
      </c>
      <c r="C16" s="175">
        <f>COL!G16</f>
        <v>25</v>
      </c>
      <c r="D16" s="159">
        <f>COL!H16</f>
        <v>-8.080446609869476</v>
      </c>
      <c r="E16" s="160">
        <f t="shared" si="0"/>
        <v>33.080446609869476</v>
      </c>
      <c r="F16" s="161">
        <f>COL!M16</f>
        <v>-36.706338885189822</v>
      </c>
      <c r="G16" s="161">
        <f>COL!N16</f>
        <v>-19.121839818628054</v>
      </c>
      <c r="H16" s="159">
        <f t="shared" si="1"/>
        <v>-61.706338885189822</v>
      </c>
      <c r="I16" s="159">
        <f t="shared" si="2"/>
        <v>-44.121839818628054</v>
      </c>
      <c r="J16" s="160">
        <f t="shared" si="3"/>
        <v>61.706338885189822</v>
      </c>
      <c r="K16" s="161">
        <f>COL!Q16</f>
        <v>218.80782538844767</v>
      </c>
      <c r="L16" s="161">
        <f>COL!R16</f>
        <v>271.8243655045593</v>
      </c>
      <c r="M16" s="162">
        <f>COL!Q16-SummaryQuantCOL!C16</f>
        <v>193.80782538844767</v>
      </c>
      <c r="N16" s="162">
        <f>COL!R16-SummaryQuantCOL!C16</f>
        <v>246.8243655045593</v>
      </c>
      <c r="O16" s="160">
        <f t="shared" si="4"/>
        <v>246.8243655045593</v>
      </c>
      <c r="P16" s="163" t="str">
        <f t="shared" si="5"/>
        <v>YES</v>
      </c>
    </row>
    <row r="17" spans="1:16" x14ac:dyDescent="0.3">
      <c r="A17" s="170"/>
      <c r="B17" s="149" t="s">
        <v>96</v>
      </c>
      <c r="C17" s="150">
        <f>COL!G17</f>
        <v>450</v>
      </c>
      <c r="D17" s="151">
        <f>COL!H17</f>
        <v>320.88441155929451</v>
      </c>
      <c r="E17" s="152">
        <f t="shared" si="0"/>
        <v>129.11558844070549</v>
      </c>
      <c r="F17" s="153">
        <f>COL!M17</f>
        <v>272.02005044884424</v>
      </c>
      <c r="G17" s="153">
        <f>COL!N17</f>
        <v>319.65672489033716</v>
      </c>
      <c r="H17" s="151">
        <f t="shared" si="1"/>
        <v>-177.97994955115576</v>
      </c>
      <c r="I17" s="151">
        <f t="shared" si="2"/>
        <v>-130.34327510966284</v>
      </c>
      <c r="J17" s="152">
        <f t="shared" si="3"/>
        <v>177.97994955115576</v>
      </c>
      <c r="K17" s="153">
        <f>COL!Q17</f>
        <v>422.03088132296318</v>
      </c>
      <c r="L17" s="153">
        <f>COL!R17</f>
        <v>561.36207839993642</v>
      </c>
      <c r="M17" s="154">
        <f>COL!Q17-SummaryQuantCOL!C17</f>
        <v>-27.969118677036818</v>
      </c>
      <c r="N17" s="154">
        <f>COL!R17-SummaryQuantCOL!C17</f>
        <v>111.36207839993642</v>
      </c>
      <c r="O17" s="152">
        <f t="shared" si="4"/>
        <v>111.36207839993642</v>
      </c>
      <c r="P17" s="155" t="str">
        <f t="shared" si="5"/>
        <v>YES</v>
      </c>
    </row>
    <row r="18" spans="1:16" x14ac:dyDescent="0.3">
      <c r="A18" s="165" t="s">
        <v>21</v>
      </c>
      <c r="B18" s="157" t="s">
        <v>95</v>
      </c>
      <c r="C18" s="175">
        <f>COL!G18</f>
        <v>225</v>
      </c>
      <c r="D18" s="159">
        <f>COL!H18</f>
        <v>251.5803419092648</v>
      </c>
      <c r="E18" s="160">
        <f t="shared" si="0"/>
        <v>26.580341909264803</v>
      </c>
      <c r="F18" s="161">
        <f>COL!M18</f>
        <v>220.36559494525983</v>
      </c>
      <c r="G18" s="161">
        <f>COL!N18</f>
        <v>244.88745696542776</v>
      </c>
      <c r="H18" s="159">
        <f t="shared" si="1"/>
        <v>-4.6344050547401707</v>
      </c>
      <c r="I18" s="159">
        <f t="shared" si="2"/>
        <v>19.887456965427759</v>
      </c>
      <c r="J18" s="160">
        <f t="shared" si="3"/>
        <v>19.887456965427759</v>
      </c>
      <c r="K18" s="161">
        <f>COL!Q18</f>
        <v>131.16270304179389</v>
      </c>
      <c r="L18" s="161">
        <f>COL!R18</f>
        <v>284.22847348166573</v>
      </c>
      <c r="M18" s="162">
        <f>COL!Q18-SummaryQuantCOL!C18</f>
        <v>-93.83729695820611</v>
      </c>
      <c r="N18" s="162">
        <f>COL!R18-SummaryQuantCOL!C18</f>
        <v>59.228473481665731</v>
      </c>
      <c r="O18" s="160">
        <f t="shared" si="4"/>
        <v>93.83729695820611</v>
      </c>
      <c r="P18" s="163" t="str">
        <f t="shared" si="5"/>
        <v>YES</v>
      </c>
    </row>
    <row r="19" spans="1:16" x14ac:dyDescent="0.3">
      <c r="A19" s="170"/>
      <c r="B19" s="149" t="s">
        <v>96</v>
      </c>
      <c r="C19" s="150">
        <f>COL!G19</f>
        <v>350</v>
      </c>
      <c r="D19" s="151">
        <f>COL!H19</f>
        <v>360.89112057781631</v>
      </c>
      <c r="E19" s="152">
        <f t="shared" si="0"/>
        <v>10.891120577816309</v>
      </c>
      <c r="F19" s="153">
        <f>COL!M19</f>
        <v>310.91298094051956</v>
      </c>
      <c r="G19" s="153">
        <f>COL!N19</f>
        <v>341.69310709140154</v>
      </c>
      <c r="H19" s="151">
        <f t="shared" si="1"/>
        <v>-39.08701905948044</v>
      </c>
      <c r="I19" s="151">
        <f t="shared" si="2"/>
        <v>-8.3068929085984564</v>
      </c>
      <c r="J19" s="152">
        <f t="shared" si="3"/>
        <v>39.08701905948044</v>
      </c>
      <c r="K19" s="153">
        <f>COL!Q19</f>
        <v>217.36420473166828</v>
      </c>
      <c r="L19" s="153">
        <f>COL!R19</f>
        <v>409.22847348165681</v>
      </c>
      <c r="M19" s="154">
        <f>COL!Q19-SummaryQuantCOL!C19</f>
        <v>-132.63579526833172</v>
      </c>
      <c r="N19" s="154">
        <f>COL!R19-SummaryQuantCOL!C19</f>
        <v>59.228473481656806</v>
      </c>
      <c r="O19" s="152">
        <f t="shared" si="4"/>
        <v>132.63579526833172</v>
      </c>
      <c r="P19" s="155" t="str">
        <f t="shared" si="5"/>
        <v>YES</v>
      </c>
    </row>
    <row r="20" spans="1:16" x14ac:dyDescent="0.3">
      <c r="A20" s="165" t="s">
        <v>23</v>
      </c>
      <c r="B20" s="157" t="s">
        <v>95</v>
      </c>
      <c r="C20" s="175">
        <f>COL!G20</f>
        <v>0.55000000000000004</v>
      </c>
      <c r="D20" s="162">
        <f>COL!H20</f>
        <v>0.64443117989569054</v>
      </c>
      <c r="E20" s="176">
        <f t="shared" si="0"/>
        <v>9.4431179895690498E-2</v>
      </c>
      <c r="F20" s="177">
        <f>COL!M20</f>
        <v>0.605254807692306</v>
      </c>
      <c r="G20" s="177">
        <f>COL!N20</f>
        <v>0.78999759615384757</v>
      </c>
      <c r="H20" s="162">
        <f t="shared" si="1"/>
        <v>5.5254807692305952E-2</v>
      </c>
      <c r="I20" s="162">
        <f t="shared" si="2"/>
        <v>0.23999759615384753</v>
      </c>
      <c r="J20" s="176">
        <f t="shared" si="3"/>
        <v>0.23999759615384753</v>
      </c>
      <c r="K20" s="177">
        <f>COL!Q20</f>
        <v>0.17937385734969383</v>
      </c>
      <c r="L20" s="177">
        <f>COL!R20</f>
        <v>0.65466015470282823</v>
      </c>
      <c r="M20" s="162">
        <f>COL!Q20-SummaryQuantCOL!C20</f>
        <v>-0.37062614265030625</v>
      </c>
      <c r="N20" s="162">
        <f>COL!R20-SummaryQuantCOL!C20</f>
        <v>0.10466015470282819</v>
      </c>
      <c r="O20" s="176">
        <f t="shared" si="4"/>
        <v>0.37062614265030625</v>
      </c>
      <c r="P20" s="163" t="str">
        <f t="shared" si="5"/>
        <v>YES</v>
      </c>
    </row>
    <row r="21" spans="1:16" x14ac:dyDescent="0.3">
      <c r="A21" s="170"/>
      <c r="B21" s="149" t="s">
        <v>96</v>
      </c>
      <c r="C21" s="150">
        <f>COL!G21</f>
        <v>0.98</v>
      </c>
      <c r="D21" s="154">
        <f>COL!H21</f>
        <v>0.98511309989393614</v>
      </c>
      <c r="E21" s="178">
        <f t="shared" si="0"/>
        <v>5.1130998939361572E-3</v>
      </c>
      <c r="F21" s="179">
        <f>COL!M21</f>
        <v>0.88744230769230592</v>
      </c>
      <c r="G21" s="179">
        <f>COL!N21</f>
        <v>1.1290360576923102</v>
      </c>
      <c r="H21" s="154">
        <f t="shared" si="1"/>
        <v>-9.2557692307694062E-2</v>
      </c>
      <c r="I21" s="154">
        <f t="shared" si="2"/>
        <v>0.14903605769231021</v>
      </c>
      <c r="J21" s="178">
        <f t="shared" si="3"/>
        <v>0.14903605769231021</v>
      </c>
      <c r="K21" s="179">
        <f>COL!Q21</f>
        <v>0.4531763866863131</v>
      </c>
      <c r="L21" s="179">
        <f>COL!R21</f>
        <v>1.0784427120181066</v>
      </c>
      <c r="M21" s="154">
        <f>COL!Q21-SummaryQuantCOL!C21</f>
        <v>-0.52682361331368688</v>
      </c>
      <c r="N21" s="154">
        <f>COL!R21-SummaryQuantCOL!C21</f>
        <v>9.8442712018106615E-2</v>
      </c>
      <c r="O21" s="178">
        <f t="shared" si="4"/>
        <v>0.52682361331368688</v>
      </c>
      <c r="P21" s="155" t="str">
        <f t="shared" si="5"/>
        <v>YES</v>
      </c>
    </row>
    <row r="22" spans="1:16" x14ac:dyDescent="0.3">
      <c r="A22" s="81" t="s">
        <v>22</v>
      </c>
      <c r="B22" s="78" t="s">
        <v>95</v>
      </c>
      <c r="C22" s="104">
        <f>COL!G22</f>
        <v>0.7</v>
      </c>
      <c r="D22" s="87">
        <f>COL!H22</f>
        <v>0.72846530850908087</v>
      </c>
      <c r="E22" s="100">
        <f t="shared" si="0"/>
        <v>2.8465308509080911E-2</v>
      </c>
      <c r="F22" s="101">
        <f>COL!M22</f>
        <v>0.67636714440577528</v>
      </c>
      <c r="G22" s="101">
        <f>COL!N22</f>
        <v>0.87037510452548239</v>
      </c>
      <c r="H22" s="87">
        <f t="shared" si="1"/>
        <v>-2.3632855594224678E-2</v>
      </c>
      <c r="I22" s="87">
        <f t="shared" si="2"/>
        <v>0.17037510452548243</v>
      </c>
      <c r="J22" s="100">
        <f t="shared" si="3"/>
        <v>0.17037510452548243</v>
      </c>
      <c r="K22" s="101">
        <f>COL!Q22</f>
        <v>0.3076870333655537</v>
      </c>
      <c r="L22" s="101">
        <f>COL!R22</f>
        <v>0.94547839576335702</v>
      </c>
      <c r="M22" s="87">
        <f>COL!Q22-SummaryQuantCOL!C22</f>
        <v>-0.39231296663444626</v>
      </c>
      <c r="N22" s="87">
        <f>COL!R22-SummaryQuantCOL!C22</f>
        <v>0.24547839576335706</v>
      </c>
      <c r="O22" s="100">
        <f t="shared" si="4"/>
        <v>0.39231296663444626</v>
      </c>
      <c r="P22" s="88" t="str">
        <f t="shared" si="5"/>
        <v>YES</v>
      </c>
    </row>
    <row r="23" spans="1:16" ht="15" thickBot="1" x14ac:dyDescent="0.35">
      <c r="A23" s="82"/>
      <c r="B23" s="89" t="s">
        <v>96</v>
      </c>
      <c r="C23" s="90">
        <f>COL!G23</f>
        <v>0.99</v>
      </c>
      <c r="D23" s="91">
        <f>COL!H23</f>
        <v>0.98607186237110422</v>
      </c>
      <c r="E23" s="102">
        <f t="shared" si="0"/>
        <v>3.928137628895767E-3</v>
      </c>
      <c r="F23" s="103">
        <f>COL!M23</f>
        <v>0.88503677955570081</v>
      </c>
      <c r="G23" s="103">
        <f>COL!N23</f>
        <v>1.1142387408891192</v>
      </c>
      <c r="H23" s="91">
        <f t="shared" si="1"/>
        <v>-0.10496322044429918</v>
      </c>
      <c r="I23" s="91">
        <f t="shared" si="2"/>
        <v>0.12423874088911924</v>
      </c>
      <c r="J23" s="102">
        <f t="shared" si="3"/>
        <v>0.12423874088911924</v>
      </c>
      <c r="K23" s="103">
        <f>COL!Q23</f>
        <v>0.53427941212652941</v>
      </c>
      <c r="L23" s="103">
        <f>COL!R23</f>
        <v>1.2888585991913821</v>
      </c>
      <c r="M23" s="91">
        <f>COL!Q23-SummaryQuantCOL!C23</f>
        <v>-0.45572058787347058</v>
      </c>
      <c r="N23" s="91">
        <f>COL!R23-SummaryQuantCOL!C23</f>
        <v>0.29885859919138213</v>
      </c>
      <c r="O23" s="102">
        <f t="shared" si="4"/>
        <v>0.45572058787347058</v>
      </c>
      <c r="P23" s="92" t="str">
        <f t="shared" si="5"/>
        <v>YES</v>
      </c>
    </row>
    <row r="24" spans="1:16" ht="60.6" customHeight="1" thickBot="1" x14ac:dyDescent="0.35">
      <c r="A24" s="93" t="s">
        <v>175</v>
      </c>
      <c r="B24" s="94" t="s">
        <v>94</v>
      </c>
      <c r="C24" s="94" t="s">
        <v>97</v>
      </c>
      <c r="D24" s="94" t="s">
        <v>182</v>
      </c>
      <c r="E24" s="94" t="s">
        <v>98</v>
      </c>
      <c r="F24" s="105" t="s">
        <v>107</v>
      </c>
      <c r="G24" s="105" t="s">
        <v>108</v>
      </c>
      <c r="H24" s="106" t="s">
        <v>178</v>
      </c>
      <c r="I24" s="106" t="s">
        <v>179</v>
      </c>
      <c r="J24" s="105" t="s">
        <v>109</v>
      </c>
      <c r="K24" s="97" t="s">
        <v>110</v>
      </c>
      <c r="L24" s="97" t="s">
        <v>111</v>
      </c>
      <c r="M24" s="98" t="s">
        <v>178</v>
      </c>
      <c r="N24" s="98" t="s">
        <v>179</v>
      </c>
      <c r="O24" s="97" t="s">
        <v>102</v>
      </c>
      <c r="P24" s="99" t="s">
        <v>181</v>
      </c>
    </row>
    <row r="25" spans="1:16" ht="15" thickTop="1" x14ac:dyDescent="0.3">
      <c r="A25" s="140" t="s">
        <v>0</v>
      </c>
      <c r="B25" s="141" t="s">
        <v>95</v>
      </c>
      <c r="C25" s="142">
        <f>COL!G25</f>
        <v>1500</v>
      </c>
      <c r="D25" s="143">
        <f>COL!H25</f>
        <v>1502.4021015067265</v>
      </c>
      <c r="E25" s="144">
        <f>ABS(D25-C25)</f>
        <v>2.4021015067264671</v>
      </c>
      <c r="F25" s="145">
        <f>COL!M25</f>
        <v>1458.7486645767708</v>
      </c>
      <c r="G25" s="145">
        <f>COL!N25</f>
        <v>1546.5562345383539</v>
      </c>
      <c r="H25" s="143">
        <f>F25-C25</f>
        <v>-41.251335423229193</v>
      </c>
      <c r="I25" s="143">
        <f>G25-C25</f>
        <v>46.55623453835392</v>
      </c>
      <c r="J25" s="144">
        <f>MAX(ABS(H25),ABS(I25))</f>
        <v>46.55623453835392</v>
      </c>
      <c r="K25" s="145">
        <f>COL!Q25</f>
        <v>1451.5862546853373</v>
      </c>
      <c r="L25" s="145">
        <f>COL!R25</f>
        <v>1487.5972802260874</v>
      </c>
      <c r="M25" s="146">
        <f>COL!Q25-SummaryQuantCOL!C25</f>
        <v>-48.413745314662719</v>
      </c>
      <c r="N25" s="146">
        <f>COL!R25-SummaryQuantCOL!C25</f>
        <v>-12.402719773912622</v>
      </c>
      <c r="O25" s="144">
        <f>MAX(ABS(M25),ABS(N25))</f>
        <v>48.413745314662719</v>
      </c>
      <c r="P25" s="147" t="str">
        <f>IF(OR(E25&lt;J25,E25&lt;O25),"YES","NO")</f>
        <v>YES</v>
      </c>
    </row>
    <row r="26" spans="1:16" x14ac:dyDescent="0.3">
      <c r="A26" s="148"/>
      <c r="B26" s="149" t="s">
        <v>96</v>
      </c>
      <c r="C26" s="150">
        <f>COL!G26</f>
        <v>6000</v>
      </c>
      <c r="D26" s="151">
        <f>COL!H26</f>
        <v>6177.5253010593069</v>
      </c>
      <c r="E26" s="152">
        <f>ABS(D26-C26)</f>
        <v>177.52530105930691</v>
      </c>
      <c r="F26" s="153">
        <f>COL!M26</f>
        <v>5873.5739680871175</v>
      </c>
      <c r="G26" s="153">
        <f>COL!N26</f>
        <v>6055.5480681154286</v>
      </c>
      <c r="H26" s="151">
        <f>F26-C26</f>
        <v>-126.42603191288254</v>
      </c>
      <c r="I26" s="151">
        <f>G26-C26</f>
        <v>55.548068115428578</v>
      </c>
      <c r="J26" s="152">
        <f>MAX(ABS(H26),ABS(I26))</f>
        <v>126.42603191288254</v>
      </c>
      <c r="K26" s="153">
        <f>COL!Q26</f>
        <v>5777.7331341477875</v>
      </c>
      <c r="L26" s="153">
        <f>COL!R26</f>
        <v>5852.3906963601275</v>
      </c>
      <c r="M26" s="154">
        <f>COL!Q26-SummaryQuantCOL!C26</f>
        <v>-222.2668658522125</v>
      </c>
      <c r="N26" s="154">
        <f>COL!R26-SummaryQuantCOL!C26</f>
        <v>-147.60930363987245</v>
      </c>
      <c r="O26" s="152">
        <f>MAX(ABS(M26),ABS(N26))</f>
        <v>222.2668658522125</v>
      </c>
      <c r="P26" s="155" t="str">
        <f>IF(OR(E26&lt;J26,E26&lt;O26),"YES","NO")</f>
        <v>YES</v>
      </c>
    </row>
    <row r="27" spans="1:16" x14ac:dyDescent="0.3">
      <c r="A27" s="156" t="s">
        <v>12</v>
      </c>
      <c r="B27" s="157" t="s">
        <v>95</v>
      </c>
      <c r="C27" s="158">
        <f>COL!G27</f>
        <v>1300</v>
      </c>
      <c r="D27" s="159">
        <f>COL!H27</f>
        <v>1299.4597900506353</v>
      </c>
      <c r="E27" s="160">
        <f>ABS(D27-C27)</f>
        <v>0.54020994936468014</v>
      </c>
      <c r="F27" s="161">
        <f>COL!M27</f>
        <v>1070.1869664118747</v>
      </c>
      <c r="G27" s="161">
        <f>COL!N27</f>
        <v>1437.4111227955</v>
      </c>
      <c r="H27" s="159">
        <f>F27-C27</f>
        <v>-229.81303358812534</v>
      </c>
      <c r="I27" s="159">
        <f>G27-C27</f>
        <v>137.41112279549998</v>
      </c>
      <c r="J27" s="160">
        <f>MAX(ABS(H27),ABS(I27))</f>
        <v>229.81303358812534</v>
      </c>
      <c r="K27" s="161">
        <f>COL!Q27</f>
        <v>1265.8860050944159</v>
      </c>
      <c r="L27" s="161">
        <f>COL!R27</f>
        <v>1504.6362615180319</v>
      </c>
      <c r="M27" s="162">
        <f>COL!Q27-SummaryQuantCOL!C27</f>
        <v>-34.11399490558415</v>
      </c>
      <c r="N27" s="162">
        <f>COL!R27-SummaryQuantCOL!C27</f>
        <v>204.63626151803192</v>
      </c>
      <c r="O27" s="160">
        <f>MAX(ABS(M27),ABS(N27))</f>
        <v>204.63626151803192</v>
      </c>
      <c r="P27" s="163" t="str">
        <f>IF(OR(E27&lt;J27,E27&lt;O27),"YES","NO")</f>
        <v>YES</v>
      </c>
    </row>
    <row r="28" spans="1:16" x14ac:dyDescent="0.3">
      <c r="A28" s="148"/>
      <c r="B28" s="149" t="s">
        <v>96</v>
      </c>
      <c r="C28" s="164">
        <f>COL!G28</f>
        <v>2200</v>
      </c>
      <c r="D28" s="151">
        <f>COL!H28</f>
        <v>2061.2305738095511</v>
      </c>
      <c r="E28" s="152">
        <f>ABS(D28-C28)</f>
        <v>138.76942619044894</v>
      </c>
      <c r="F28" s="153">
        <f>COL!M28</f>
        <v>1913.2993994237131</v>
      </c>
      <c r="G28" s="153">
        <f>COL!N28</f>
        <v>2390.218139459239</v>
      </c>
      <c r="H28" s="151">
        <f>F28-C28</f>
        <v>-286.70060057628689</v>
      </c>
      <c r="I28" s="151">
        <f>G28-C28</f>
        <v>190.21813945923896</v>
      </c>
      <c r="J28" s="152">
        <f>MAX(ABS(H28),ABS(I28))</f>
        <v>286.70060057628689</v>
      </c>
      <c r="K28" s="153">
        <f>COL!Q28</f>
        <v>2125.9203691220782</v>
      </c>
      <c r="L28" s="153">
        <f>COL!R28</f>
        <v>2433.9762873549889</v>
      </c>
      <c r="M28" s="154">
        <f>COL!Q28-SummaryQuantCOL!C28</f>
        <v>-74.079630877921772</v>
      </c>
      <c r="N28" s="154">
        <f>COL!R28-SummaryQuantCOL!C28</f>
        <v>233.97628735498893</v>
      </c>
      <c r="O28" s="152">
        <f>MAX(ABS(M28),ABS(N28))</f>
        <v>233.97628735498893</v>
      </c>
      <c r="P28" s="155" t="str">
        <f>IF(OR(E28&lt;J28,E28&lt;O28),"YES","NO")</f>
        <v>YES</v>
      </c>
    </row>
    <row r="29" spans="1:16" ht="18" customHeight="1" x14ac:dyDescent="0.3">
      <c r="A29" s="165" t="s">
        <v>14</v>
      </c>
      <c r="B29" s="166" t="s">
        <v>106</v>
      </c>
      <c r="C29" s="167"/>
      <c r="D29" s="168"/>
      <c r="E29" s="168"/>
      <c r="F29" s="168"/>
      <c r="G29" s="168"/>
      <c r="H29" s="168"/>
      <c r="I29" s="168"/>
      <c r="J29" s="168"/>
      <c r="K29" s="168"/>
      <c r="L29" s="168"/>
      <c r="M29" s="168"/>
      <c r="N29" s="168"/>
      <c r="O29" s="168"/>
      <c r="P29" s="169"/>
    </row>
    <row r="30" spans="1:16" ht="13.8" customHeight="1" x14ac:dyDescent="0.3">
      <c r="A30" s="170"/>
      <c r="B30" s="171" t="s">
        <v>105</v>
      </c>
      <c r="C30" s="172"/>
      <c r="D30" s="173"/>
      <c r="E30" s="173"/>
      <c r="F30" s="173"/>
      <c r="G30" s="173"/>
      <c r="H30" s="173"/>
      <c r="I30" s="173"/>
      <c r="J30" s="173"/>
      <c r="K30" s="173"/>
      <c r="L30" s="173"/>
      <c r="M30" s="173"/>
      <c r="N30" s="173"/>
      <c r="O30" s="173"/>
      <c r="P30" s="174"/>
    </row>
    <row r="31" spans="1:16" x14ac:dyDescent="0.3">
      <c r="A31" s="165" t="s">
        <v>15</v>
      </c>
      <c r="B31" s="157" t="s">
        <v>95</v>
      </c>
      <c r="C31" s="175">
        <f>COL!G31</f>
        <v>2800</v>
      </c>
      <c r="D31" s="159">
        <f>COL!H31</f>
        <v>2778.7984736993335</v>
      </c>
      <c r="E31" s="160">
        <f>ABS(D31-C31)</f>
        <v>21.201526300666501</v>
      </c>
      <c r="F31" s="161">
        <f>COL!M31</f>
        <v>2694.48810755878</v>
      </c>
      <c r="G31" s="161">
        <f>COL!N31</f>
        <v>2789.814449069127</v>
      </c>
      <c r="H31" s="159">
        <f>F31-C31</f>
        <v>-105.51189244121997</v>
      </c>
      <c r="I31" s="159">
        <f>G31-C31</f>
        <v>-10.185550930872978</v>
      </c>
      <c r="J31" s="160">
        <f>MAX(ABS(H31),ABS(I31))</f>
        <v>105.51189244121997</v>
      </c>
      <c r="K31" s="161">
        <f>COL!Q31</f>
        <v>2799.4898294467844</v>
      </c>
      <c r="L31" s="161">
        <f>COL!R31</f>
        <v>2939.1571273847094</v>
      </c>
      <c r="M31" s="162">
        <f>COL!Q31-SummaryQuantCOL!C31</f>
        <v>-0.51017055321563021</v>
      </c>
      <c r="N31" s="162">
        <f>COL!R31-SummaryQuantCOL!C31</f>
        <v>139.15712738470938</v>
      </c>
      <c r="O31" s="160">
        <f>MAX(ABS(M31),ABS(N31))</f>
        <v>139.15712738470938</v>
      </c>
      <c r="P31" s="163" t="str">
        <f>IF(OR(E31&lt;J31,E31&lt;O31),"YES","NO")</f>
        <v>YES</v>
      </c>
    </row>
    <row r="32" spans="1:16" x14ac:dyDescent="0.3">
      <c r="A32" s="170"/>
      <c r="B32" s="149" t="s">
        <v>96</v>
      </c>
      <c r="C32" s="150">
        <f>COL!G32</f>
        <v>8200</v>
      </c>
      <c r="D32" s="151">
        <f>COL!H32</f>
        <v>8242.3257831629144</v>
      </c>
      <c r="E32" s="152">
        <f>ABS(D32-C32)</f>
        <v>42.325783162914377</v>
      </c>
      <c r="F32" s="153">
        <f>COL!M32</f>
        <v>8051.32043653859</v>
      </c>
      <c r="G32" s="153">
        <f>COL!N32</f>
        <v>8214.733205923867</v>
      </c>
      <c r="H32" s="151">
        <f>F32-C32</f>
        <v>-148.67956346141</v>
      </c>
      <c r="I32" s="151">
        <f>G32-C32</f>
        <v>14.73320592386699</v>
      </c>
      <c r="J32" s="152">
        <f>MAX(ABS(H32),ABS(I32))</f>
        <v>148.67956346141</v>
      </c>
      <c r="K32" s="153">
        <f>COL!Q32</f>
        <v>7978.2879828831265</v>
      </c>
      <c r="L32" s="153">
        <f>COL!R32</f>
        <v>8213.1212354505788</v>
      </c>
      <c r="M32" s="154">
        <f>COL!Q32-SummaryQuantCOL!C32</f>
        <v>-221.71201711687354</v>
      </c>
      <c r="N32" s="154">
        <f>COL!R32-SummaryQuantCOL!C32</f>
        <v>13.121235450578752</v>
      </c>
      <c r="O32" s="152">
        <f>MAX(ABS(M32),ABS(N32))</f>
        <v>221.71201711687354</v>
      </c>
      <c r="P32" s="155" t="str">
        <f>IF(OR(E32&lt;J32,E32&lt;O32),"YES","NO")</f>
        <v>YES</v>
      </c>
    </row>
    <row r="33" spans="1:16" ht="17.399999999999999" customHeight="1" x14ac:dyDescent="0.3">
      <c r="A33" s="165" t="s">
        <v>16</v>
      </c>
      <c r="B33" s="166" t="s">
        <v>106</v>
      </c>
      <c r="C33" s="167"/>
      <c r="D33" s="168"/>
      <c r="E33" s="168"/>
      <c r="F33" s="168"/>
      <c r="G33" s="168"/>
      <c r="H33" s="168"/>
      <c r="I33" s="168"/>
      <c r="J33" s="168"/>
      <c r="K33" s="168"/>
      <c r="L33" s="168"/>
      <c r="M33" s="168"/>
      <c r="N33" s="168"/>
      <c r="O33" s="168"/>
      <c r="P33" s="169"/>
    </row>
    <row r="34" spans="1:16" ht="16.8" customHeight="1" x14ac:dyDescent="0.3">
      <c r="A34" s="170"/>
      <c r="B34" s="171" t="s">
        <v>105</v>
      </c>
      <c r="C34" s="172"/>
      <c r="D34" s="173"/>
      <c r="E34" s="173"/>
      <c r="F34" s="173"/>
      <c r="G34" s="173"/>
      <c r="H34" s="173"/>
      <c r="I34" s="173"/>
      <c r="J34" s="173"/>
      <c r="K34" s="173"/>
      <c r="L34" s="173"/>
      <c r="M34" s="173"/>
      <c r="N34" s="173"/>
      <c r="O34" s="173"/>
      <c r="P34" s="174"/>
    </row>
    <row r="35" spans="1:16" x14ac:dyDescent="0.3">
      <c r="A35" s="165" t="s">
        <v>17</v>
      </c>
      <c r="B35" s="157" t="s">
        <v>95</v>
      </c>
      <c r="C35" s="175">
        <f>COL!G35</f>
        <v>2</v>
      </c>
      <c r="D35" s="159">
        <f>COL!H35</f>
        <v>3.6746752902662001</v>
      </c>
      <c r="E35" s="160">
        <f t="shared" ref="E35:E46" si="6">ABS(D35-C35)</f>
        <v>1.6746752902662001</v>
      </c>
      <c r="F35" s="161">
        <f>COL!M35</f>
        <v>3.8911028889192698</v>
      </c>
      <c r="G35" s="161">
        <f>COL!N35</f>
        <v>5.9230784690017702</v>
      </c>
      <c r="H35" s="159">
        <f t="shared" ref="H35:H46" si="7">F35-C35</f>
        <v>1.8911028889192698</v>
      </c>
      <c r="I35" s="159">
        <f t="shared" ref="I35:I46" si="8">G35-C35</f>
        <v>3.9230784690017702</v>
      </c>
      <c r="J35" s="160">
        <f t="shared" ref="J35:J46" si="9">MAX(ABS(H35),ABS(I35))</f>
        <v>3.9230784690017702</v>
      </c>
      <c r="K35" s="161">
        <f>COL!Q35</f>
        <v>16.482582666005055</v>
      </c>
      <c r="L35" s="161">
        <f>COL!R35</f>
        <v>20.45438883404962</v>
      </c>
      <c r="M35" s="162">
        <f>COL!Q35-SummaryQuantCOL!C35</f>
        <v>14.482582666005055</v>
      </c>
      <c r="N35" s="162">
        <f>COL!R35-SummaryQuantCOL!C35</f>
        <v>18.45438883404962</v>
      </c>
      <c r="O35" s="160">
        <f t="shared" ref="O35:O46" si="10">MAX(ABS(M35),ABS(N35))</f>
        <v>18.45438883404962</v>
      </c>
      <c r="P35" s="163" t="str">
        <f t="shared" ref="P35:P46" si="11">IF(OR(E35&lt;J35,E35&lt;O35),"YES","NO")</f>
        <v>YES</v>
      </c>
    </row>
    <row r="36" spans="1:16" x14ac:dyDescent="0.3">
      <c r="A36" s="170"/>
      <c r="B36" s="149" t="s">
        <v>96</v>
      </c>
      <c r="C36" s="150">
        <f>COL!G36</f>
        <v>30</v>
      </c>
      <c r="D36" s="151">
        <f>COL!H36</f>
        <v>35.018213000509562</v>
      </c>
      <c r="E36" s="152">
        <f t="shared" si="6"/>
        <v>5.0182130005095615</v>
      </c>
      <c r="F36" s="153">
        <f>COL!M36</f>
        <v>38.322839800847433</v>
      </c>
      <c r="G36" s="153">
        <f>COL!N36</f>
        <v>47.118049649573649</v>
      </c>
      <c r="H36" s="151">
        <f t="shared" si="7"/>
        <v>8.3228398008474329</v>
      </c>
      <c r="I36" s="151">
        <f t="shared" si="8"/>
        <v>17.118049649573649</v>
      </c>
      <c r="J36" s="152">
        <f t="shared" si="9"/>
        <v>17.118049649573649</v>
      </c>
      <c r="K36" s="153">
        <f>COL!Q36</f>
        <v>38.776727996726009</v>
      </c>
      <c r="L36" s="153">
        <f>COL!R36</f>
        <v>53.599790998009297</v>
      </c>
      <c r="M36" s="154">
        <f>COL!Q36-SummaryQuantCOL!C36</f>
        <v>8.7767279967260095</v>
      </c>
      <c r="N36" s="154">
        <f>COL!R36-SummaryQuantCOL!C36</f>
        <v>23.599790998009297</v>
      </c>
      <c r="O36" s="152">
        <f t="shared" si="10"/>
        <v>23.599790998009297</v>
      </c>
      <c r="P36" s="155" t="str">
        <f t="shared" si="11"/>
        <v>YES</v>
      </c>
    </row>
    <row r="37" spans="1:16" x14ac:dyDescent="0.3">
      <c r="A37" s="165" t="s">
        <v>19</v>
      </c>
      <c r="B37" s="157" t="s">
        <v>95</v>
      </c>
      <c r="C37" s="175">
        <f>COL!G37</f>
        <v>0.5</v>
      </c>
      <c r="D37" s="159">
        <f>COL!H37</f>
        <v>1.0937662737476841</v>
      </c>
      <c r="E37" s="160">
        <f t="shared" si="6"/>
        <v>0.59376627374768409</v>
      </c>
      <c r="F37" s="161">
        <f>COL!M37</f>
        <v>0.60622568525321463</v>
      </c>
      <c r="G37" s="161">
        <f>COL!N37</f>
        <v>1.1463935966634</v>
      </c>
      <c r="H37" s="159">
        <f t="shared" si="7"/>
        <v>0.10622568525321463</v>
      </c>
      <c r="I37" s="159">
        <f t="shared" si="8"/>
        <v>0.64639359666340002</v>
      </c>
      <c r="J37" s="160">
        <f t="shared" si="9"/>
        <v>0.64639359666340002</v>
      </c>
      <c r="K37" s="161">
        <f>COL!Q37</f>
        <v>2.6447050999671502</v>
      </c>
      <c r="L37" s="161">
        <f>COL!R37</f>
        <v>3.89613982813013</v>
      </c>
      <c r="M37" s="162">
        <f>COL!Q37-SummaryQuantCOL!C37</f>
        <v>2.1447050999671502</v>
      </c>
      <c r="N37" s="162">
        <f>COL!R37-SummaryQuantCOL!C37</f>
        <v>3.39613982813013</v>
      </c>
      <c r="O37" s="160">
        <f t="shared" si="10"/>
        <v>3.39613982813013</v>
      </c>
      <c r="P37" s="163" t="str">
        <f t="shared" si="11"/>
        <v>YES</v>
      </c>
    </row>
    <row r="38" spans="1:16" x14ac:dyDescent="0.3">
      <c r="A38" s="170"/>
      <c r="B38" s="149" t="s">
        <v>96</v>
      </c>
      <c r="C38" s="150">
        <f>COL!G38</f>
        <v>8</v>
      </c>
      <c r="D38" s="151">
        <f>COL!H38</f>
        <v>11.352853693943009</v>
      </c>
      <c r="E38" s="152">
        <f t="shared" si="6"/>
        <v>3.3528536939430094</v>
      </c>
      <c r="F38" s="153">
        <f>COL!M38</f>
        <v>9.9364530693145898</v>
      </c>
      <c r="G38" s="153">
        <f>COL!N38</f>
        <v>12.199025175610799</v>
      </c>
      <c r="H38" s="151">
        <f t="shared" si="7"/>
        <v>1.9364530693145898</v>
      </c>
      <c r="I38" s="151">
        <f t="shared" si="8"/>
        <v>4.1990251756107995</v>
      </c>
      <c r="J38" s="152">
        <f t="shared" si="9"/>
        <v>4.1990251756107995</v>
      </c>
      <c r="K38" s="153">
        <f>COL!Q38</f>
        <v>10.144705099967151</v>
      </c>
      <c r="L38" s="153">
        <f>COL!R38</f>
        <v>14.338237250082081</v>
      </c>
      <c r="M38" s="154">
        <f>COL!Q38-SummaryQuantCOL!C38</f>
        <v>2.1447050999671511</v>
      </c>
      <c r="N38" s="154">
        <f>COL!R38-SummaryQuantCOL!C38</f>
        <v>6.3382372500820807</v>
      </c>
      <c r="O38" s="152">
        <f t="shared" si="10"/>
        <v>6.3382372500820807</v>
      </c>
      <c r="P38" s="155" t="str">
        <f t="shared" si="11"/>
        <v>YES</v>
      </c>
    </row>
    <row r="39" spans="1:16" x14ac:dyDescent="0.3">
      <c r="A39" s="165" t="s">
        <v>20</v>
      </c>
      <c r="B39" s="157" t="s">
        <v>95</v>
      </c>
      <c r="C39" s="175">
        <f>COL!G39</f>
        <v>25</v>
      </c>
      <c r="D39" s="159">
        <f>COL!H39</f>
        <v>44.311879811191503</v>
      </c>
      <c r="E39" s="160">
        <f t="shared" si="6"/>
        <v>19.311879811191503</v>
      </c>
      <c r="F39" s="161">
        <f>COL!M39</f>
        <v>85.119803549549346</v>
      </c>
      <c r="G39" s="161">
        <f>COL!N39</f>
        <v>103.24625188253015</v>
      </c>
      <c r="H39" s="159">
        <f t="shared" si="7"/>
        <v>60.119803549549346</v>
      </c>
      <c r="I39" s="159">
        <f t="shared" si="8"/>
        <v>78.246251882530146</v>
      </c>
      <c r="J39" s="160">
        <f t="shared" si="9"/>
        <v>78.246251882530146</v>
      </c>
      <c r="K39" s="161">
        <f>COL!Q39</f>
        <v>266.48878633209529</v>
      </c>
      <c r="L39" s="161">
        <f>COL!R39</f>
        <v>309.98836175932007</v>
      </c>
      <c r="M39" s="162">
        <f>COL!Q39-SummaryQuantCOL!C39</f>
        <v>241.48878633209529</v>
      </c>
      <c r="N39" s="162">
        <f>COL!R39-SummaryQuantCOL!C39</f>
        <v>284.98836175932007</v>
      </c>
      <c r="O39" s="160">
        <f t="shared" si="10"/>
        <v>284.98836175932007</v>
      </c>
      <c r="P39" s="163" t="str">
        <f t="shared" si="11"/>
        <v>YES</v>
      </c>
    </row>
    <row r="40" spans="1:16" x14ac:dyDescent="0.3">
      <c r="A40" s="180"/>
      <c r="B40" s="181" t="s">
        <v>96</v>
      </c>
      <c r="C40" s="182">
        <f>COL!G40</f>
        <v>450</v>
      </c>
      <c r="D40" s="183">
        <f>COL!H40</f>
        <v>480.29041771597997</v>
      </c>
      <c r="E40" s="184">
        <f t="shared" si="6"/>
        <v>30.29041771597997</v>
      </c>
      <c r="F40" s="185">
        <f>COL!M40</f>
        <v>618.28517708836853</v>
      </c>
      <c r="G40" s="185">
        <f>COL!N40</f>
        <v>688.31123576561447</v>
      </c>
      <c r="H40" s="183">
        <f t="shared" si="7"/>
        <v>168.28517708836853</v>
      </c>
      <c r="I40" s="183">
        <f t="shared" si="8"/>
        <v>238.31123576561447</v>
      </c>
      <c r="J40" s="184">
        <f t="shared" si="9"/>
        <v>238.31123576561447</v>
      </c>
      <c r="K40" s="185">
        <f>COL!Q40</f>
        <v>523.06368240094241</v>
      </c>
      <c r="L40" s="185">
        <f>COL!R40</f>
        <v>677.17781593439031</v>
      </c>
      <c r="M40" s="186">
        <f>COL!Q40-SummaryQuantCOL!C40</f>
        <v>73.063682400942412</v>
      </c>
      <c r="N40" s="186">
        <f>COL!R40-SummaryQuantCOL!C40</f>
        <v>227.17781593439031</v>
      </c>
      <c r="O40" s="184">
        <f t="shared" si="10"/>
        <v>227.17781593439031</v>
      </c>
      <c r="P40" s="187" t="str">
        <f t="shared" si="11"/>
        <v>YES</v>
      </c>
    </row>
    <row r="41" spans="1:16" x14ac:dyDescent="0.3">
      <c r="A41" s="188" t="s">
        <v>21</v>
      </c>
      <c r="B41" s="189" t="s">
        <v>95</v>
      </c>
      <c r="C41" s="190">
        <f>COL!G41</f>
        <v>225</v>
      </c>
      <c r="D41" s="191">
        <f>COL!H41</f>
        <v>242.60168904894638</v>
      </c>
      <c r="E41" s="192">
        <f t="shared" si="6"/>
        <v>17.601689048946383</v>
      </c>
      <c r="F41" s="193">
        <f>COL!M41</f>
        <v>193.01630816149998</v>
      </c>
      <c r="G41" s="193">
        <f>COL!N41</f>
        <v>236.51870686851126</v>
      </c>
      <c r="H41" s="191">
        <f t="shared" si="7"/>
        <v>-31.983691838500022</v>
      </c>
      <c r="I41" s="191">
        <f t="shared" si="8"/>
        <v>11.518706868511259</v>
      </c>
      <c r="J41" s="192">
        <f t="shared" si="9"/>
        <v>31.983691838500022</v>
      </c>
      <c r="K41" s="193">
        <f>COL!Q41</f>
        <v>125.06626147042161</v>
      </c>
      <c r="L41" s="193">
        <f>COL!R41</f>
        <v>275.79332116362178</v>
      </c>
      <c r="M41" s="194">
        <f>COL!Q41-SummaryQuantCOL!C41</f>
        <v>-99.933738529578392</v>
      </c>
      <c r="N41" s="194">
        <f>COL!R41-SummaryQuantCOL!C41</f>
        <v>50.793321163621783</v>
      </c>
      <c r="O41" s="192">
        <f t="shared" si="10"/>
        <v>99.933738529578392</v>
      </c>
      <c r="P41" s="195" t="str">
        <f t="shared" si="11"/>
        <v>YES</v>
      </c>
    </row>
    <row r="42" spans="1:16" x14ac:dyDescent="0.3">
      <c r="A42" s="170"/>
      <c r="B42" s="149" t="s">
        <v>96</v>
      </c>
      <c r="C42" s="150">
        <f>COL!G42</f>
        <v>350</v>
      </c>
      <c r="D42" s="151">
        <f>COL!H42</f>
        <v>388.98127029514762</v>
      </c>
      <c r="E42" s="152">
        <f t="shared" si="6"/>
        <v>38.981270295147624</v>
      </c>
      <c r="F42" s="153">
        <f>COL!M42</f>
        <v>354.42217630728624</v>
      </c>
      <c r="G42" s="153">
        <f>COL!N42</f>
        <v>409.08028695452253</v>
      </c>
      <c r="H42" s="151">
        <f t="shared" si="7"/>
        <v>4.4221763072862359</v>
      </c>
      <c r="I42" s="151">
        <f t="shared" si="8"/>
        <v>59.080286954522535</v>
      </c>
      <c r="J42" s="152">
        <f t="shared" si="9"/>
        <v>59.080286954522535</v>
      </c>
      <c r="K42" s="153">
        <f>COL!Q42</f>
        <v>242.59353301196225</v>
      </c>
      <c r="L42" s="153">
        <f>COL!R42</f>
        <v>431.81885384780179</v>
      </c>
      <c r="M42" s="154">
        <f>COL!Q42-SummaryQuantCOL!C42</f>
        <v>-107.40646698803775</v>
      </c>
      <c r="N42" s="154">
        <f>COL!R42-SummaryQuantCOL!C42</f>
        <v>81.81885384780179</v>
      </c>
      <c r="O42" s="152">
        <f t="shared" si="10"/>
        <v>107.40646698803775</v>
      </c>
      <c r="P42" s="155" t="str">
        <f t="shared" si="11"/>
        <v>YES</v>
      </c>
    </row>
    <row r="43" spans="1:16" x14ac:dyDescent="0.3">
      <c r="A43" s="165" t="s">
        <v>23</v>
      </c>
      <c r="B43" s="157" t="s">
        <v>95</v>
      </c>
      <c r="C43" s="175">
        <f>COL!G43</f>
        <v>0.55000000000000004</v>
      </c>
      <c r="D43" s="162">
        <f>COL!H43</f>
        <v>0.47230328474942507</v>
      </c>
      <c r="E43" s="176">
        <f t="shared" si="6"/>
        <v>7.7696715250574977E-2</v>
      </c>
      <c r="F43" s="177">
        <f>COL!M43</f>
        <v>0.15456097560975646</v>
      </c>
      <c r="G43" s="177">
        <f>COL!N43</f>
        <v>0.52822938443670298</v>
      </c>
      <c r="H43" s="162">
        <f t="shared" si="7"/>
        <v>-0.39543902439024359</v>
      </c>
      <c r="I43" s="162">
        <f t="shared" si="8"/>
        <v>-2.1770615563297069E-2</v>
      </c>
      <c r="J43" s="176">
        <f t="shared" si="9"/>
        <v>0.39543902439024359</v>
      </c>
      <c r="K43" s="177">
        <f>COL!Q43</f>
        <v>-3.4643168499381649E-2</v>
      </c>
      <c r="L43" s="177">
        <f>COL!R43</f>
        <v>0.57202748159900763</v>
      </c>
      <c r="M43" s="162">
        <f>COL!Q43-SummaryQuantCOL!C43</f>
        <v>-0.58464316849938169</v>
      </c>
      <c r="N43" s="162">
        <f>COL!R43-SummaryQuantCOL!C43</f>
        <v>2.2027481599007581E-2</v>
      </c>
      <c r="O43" s="176">
        <f t="shared" si="10"/>
        <v>0.58464316849938169</v>
      </c>
      <c r="P43" s="163" t="str">
        <f t="shared" si="11"/>
        <v>YES</v>
      </c>
    </row>
    <row r="44" spans="1:16" x14ac:dyDescent="0.3">
      <c r="A44" s="170"/>
      <c r="B44" s="149" t="s">
        <v>96</v>
      </c>
      <c r="C44" s="150">
        <f>COL!G44</f>
        <v>0.98</v>
      </c>
      <c r="D44" s="154">
        <f>COL!H44</f>
        <v>0.95672770196117973</v>
      </c>
      <c r="E44" s="178">
        <f t="shared" si="6"/>
        <v>2.3272298038820249E-2</v>
      </c>
      <c r="F44" s="179">
        <f>COL!M44</f>
        <v>0.6999268292682933</v>
      </c>
      <c r="G44" s="179">
        <f>COL!N44</f>
        <v>1.1834674796747966</v>
      </c>
      <c r="H44" s="154">
        <f t="shared" si="7"/>
        <v>-0.28007317073170668</v>
      </c>
      <c r="I44" s="154">
        <f t="shared" si="8"/>
        <v>0.20346747967479661</v>
      </c>
      <c r="J44" s="178">
        <f t="shared" si="9"/>
        <v>0.28007317073170668</v>
      </c>
      <c r="K44" s="179">
        <f>COL!Q44</f>
        <v>0.33780844052290837</v>
      </c>
      <c r="L44" s="179">
        <f>COL!R44</f>
        <v>1.1262024508487221</v>
      </c>
      <c r="M44" s="154">
        <f>COL!Q44-SummaryQuantCOL!C44</f>
        <v>-0.64219155947709161</v>
      </c>
      <c r="N44" s="154">
        <f>COL!R44-SummaryQuantCOL!C44</f>
        <v>0.14620245084872208</v>
      </c>
      <c r="O44" s="178">
        <f t="shared" si="10"/>
        <v>0.64219155947709161</v>
      </c>
      <c r="P44" s="155" t="str">
        <f t="shared" si="11"/>
        <v>YES</v>
      </c>
    </row>
    <row r="45" spans="1:16" x14ac:dyDescent="0.3">
      <c r="A45" s="81" t="s">
        <v>22</v>
      </c>
      <c r="B45" s="78" t="s">
        <v>95</v>
      </c>
      <c r="C45" s="104">
        <f>COL!G45</f>
        <v>0.7</v>
      </c>
      <c r="D45" s="87">
        <f>COL!H45</f>
        <v>0.64522294393341706</v>
      </c>
      <c r="E45" s="100">
        <f t="shared" si="6"/>
        <v>5.4777056066582896E-2</v>
      </c>
      <c r="F45" s="101">
        <f>COL!M45</f>
        <v>0.4408841614099569</v>
      </c>
      <c r="G45" s="101">
        <f>COL!N45</f>
        <v>0.76747825969458605</v>
      </c>
      <c r="H45" s="87">
        <f t="shared" si="7"/>
        <v>-0.25911583859004306</v>
      </c>
      <c r="I45" s="87">
        <f t="shared" si="8"/>
        <v>6.7478259694586096E-2</v>
      </c>
      <c r="J45" s="100">
        <f t="shared" si="9"/>
        <v>0.25911583859004306</v>
      </c>
      <c r="K45" s="101">
        <f>COL!Q45</f>
        <v>0.30773711624840105</v>
      </c>
      <c r="L45" s="101">
        <f>COL!R45</f>
        <v>0.81524085126874857</v>
      </c>
      <c r="M45" s="87">
        <f>COL!Q45-SummaryQuantCOL!C45</f>
        <v>-0.3922628837515989</v>
      </c>
      <c r="N45" s="87">
        <f>COL!R45-SummaryQuantCOL!C45</f>
        <v>0.11524085126874861</v>
      </c>
      <c r="O45" s="100">
        <f t="shared" si="10"/>
        <v>0.3922628837515989</v>
      </c>
      <c r="P45" s="88" t="str">
        <f t="shared" si="11"/>
        <v>YES</v>
      </c>
    </row>
    <row r="46" spans="1:16" ht="15" thickBot="1" x14ac:dyDescent="0.35">
      <c r="A46" s="82"/>
      <c r="B46" s="89" t="s">
        <v>96</v>
      </c>
      <c r="C46" s="90">
        <f>COL!G46</f>
        <v>0.99</v>
      </c>
      <c r="D46" s="91">
        <f>COL!H46</f>
        <v>0.97518235696071931</v>
      </c>
      <c r="E46" s="102">
        <f t="shared" si="6"/>
        <v>1.4817643039280681E-2</v>
      </c>
      <c r="F46" s="103">
        <f>COL!M46</f>
        <v>0.7857490262748219</v>
      </c>
      <c r="G46" s="103">
        <f>COL!N46</f>
        <v>1.1705076699850452</v>
      </c>
      <c r="H46" s="91">
        <f t="shared" si="7"/>
        <v>-0.20425097372517809</v>
      </c>
      <c r="I46" s="91">
        <f t="shared" si="8"/>
        <v>0.18050766998504519</v>
      </c>
      <c r="J46" s="102">
        <f t="shared" si="9"/>
        <v>0.20425097372517809</v>
      </c>
      <c r="K46" s="103">
        <f>COL!Q46</f>
        <v>0.59136037585628998</v>
      </c>
      <c r="L46" s="103">
        <f>COL!R46</f>
        <v>1.1908844080829462</v>
      </c>
      <c r="M46" s="91">
        <f>COL!Q46-SummaryQuantCOL!C46</f>
        <v>-0.39863962414371001</v>
      </c>
      <c r="N46" s="91">
        <f>COL!R46-SummaryQuantCOL!C46</f>
        <v>0.20088440808294616</v>
      </c>
      <c r="O46" s="102">
        <f t="shared" si="10"/>
        <v>0.39863962414371001</v>
      </c>
      <c r="P46" s="92" t="str">
        <f t="shared" si="11"/>
        <v>YES</v>
      </c>
    </row>
    <row r="47" spans="1:16" ht="63.6" customHeight="1" thickBot="1" x14ac:dyDescent="0.35">
      <c r="A47" s="93" t="s">
        <v>176</v>
      </c>
      <c r="B47" s="94" t="s">
        <v>94</v>
      </c>
      <c r="C47" s="94" t="s">
        <v>97</v>
      </c>
      <c r="D47" s="94" t="s">
        <v>183</v>
      </c>
      <c r="E47" s="94" t="s">
        <v>98</v>
      </c>
      <c r="F47" s="105" t="s">
        <v>112</v>
      </c>
      <c r="G47" s="105" t="s">
        <v>113</v>
      </c>
      <c r="H47" s="106" t="s">
        <v>178</v>
      </c>
      <c r="I47" s="106" t="s">
        <v>179</v>
      </c>
      <c r="J47" s="105" t="s">
        <v>109</v>
      </c>
      <c r="K47" s="95" t="s">
        <v>114</v>
      </c>
      <c r="L47" s="95" t="s">
        <v>115</v>
      </c>
      <c r="M47" s="96" t="s">
        <v>178</v>
      </c>
      <c r="N47" s="96" t="s">
        <v>179</v>
      </c>
      <c r="O47" s="95" t="s">
        <v>99</v>
      </c>
      <c r="P47" s="99" t="s">
        <v>181</v>
      </c>
    </row>
    <row r="48" spans="1:16" ht="15" thickTop="1" x14ac:dyDescent="0.3">
      <c r="A48" s="80" t="s">
        <v>0</v>
      </c>
      <c r="B48" s="78" t="s">
        <v>95</v>
      </c>
      <c r="C48" s="83">
        <f>COL!G48</f>
        <v>1500</v>
      </c>
      <c r="D48" s="84">
        <f>COL!H48</f>
        <v>1537.5066921571006</v>
      </c>
      <c r="E48" s="85">
        <f>ABS(D48-C48)</f>
        <v>37.506692157100588</v>
      </c>
      <c r="F48" s="86">
        <f>COL!M48</f>
        <v>1492.6344706499431</v>
      </c>
      <c r="G48" s="86">
        <f>COL!N48</f>
        <v>1572.0042637354481</v>
      </c>
      <c r="H48" s="84">
        <f>F48-C48</f>
        <v>-7.3655293500569314</v>
      </c>
      <c r="I48" s="84">
        <f>G48-C48</f>
        <v>72.004263735448149</v>
      </c>
      <c r="J48" s="85">
        <f>MAX(ABS(H48),ABS(I48))</f>
        <v>72.004263735448149</v>
      </c>
      <c r="K48" s="86">
        <f>COL!Q48</f>
        <v>1512.4860600847021</v>
      </c>
      <c r="L48" s="86">
        <f>COL!R48</f>
        <v>1550.4471671637652</v>
      </c>
      <c r="M48" s="87">
        <f>COL!Q48-SummaryQuantCOL!C48</f>
        <v>12.486060084702103</v>
      </c>
      <c r="N48" s="87">
        <f>COL!R48-SummaryQuantCOL!C48</f>
        <v>50.447167163765243</v>
      </c>
      <c r="O48" s="85">
        <f>MAX(ABS(M48),ABS(N48))</f>
        <v>50.447167163765243</v>
      </c>
      <c r="P48" s="88" t="str">
        <f>IF(OR(E48&lt;J48,E48&lt;O48),"YES","NO")</f>
        <v>YES</v>
      </c>
    </row>
    <row r="49" spans="1:17" x14ac:dyDescent="0.3">
      <c r="A49" s="5"/>
      <c r="B49" s="78" t="s">
        <v>96</v>
      </c>
      <c r="C49" s="83">
        <f>COL!G49</f>
        <v>6000</v>
      </c>
      <c r="D49" s="84">
        <f>COL!H49</f>
        <v>6378.7253225085851</v>
      </c>
      <c r="E49" s="85">
        <f>ABS(D49-C49)</f>
        <v>378.72532250858512</v>
      </c>
      <c r="F49" s="86">
        <f>COL!M49</f>
        <v>6069.3497311226884</v>
      </c>
      <c r="G49" s="86">
        <f>COL!N49</f>
        <v>6239.4533534275188</v>
      </c>
      <c r="H49" s="84">
        <f>F49-C49</f>
        <v>69.349731122688354</v>
      </c>
      <c r="I49" s="84">
        <f>G49-C49</f>
        <v>239.45335342751878</v>
      </c>
      <c r="J49" s="85">
        <f>MAX(ABS(H49),ABS(I49))</f>
        <v>239.45335342751878</v>
      </c>
      <c r="K49" s="86">
        <f>COL!Q49</f>
        <v>6151.8808880616425</v>
      </c>
      <c r="L49" s="86">
        <f>COL!R49</f>
        <v>6231.2868529666257</v>
      </c>
      <c r="M49" s="87">
        <f>COL!Q49-SummaryQuantCOL!C49</f>
        <v>151.88088806164251</v>
      </c>
      <c r="N49" s="87">
        <f>COL!R49-SummaryQuantCOL!C49</f>
        <v>231.2868529666257</v>
      </c>
      <c r="O49" s="85">
        <f>MAX(ABS(M49),ABS(N49))</f>
        <v>231.2868529666257</v>
      </c>
      <c r="P49" s="88" t="str">
        <f>IF(OR(E49&lt;J49,E49&lt;O49),"YES","NO")</f>
        <v>NO</v>
      </c>
      <c r="Q49" t="s">
        <v>189</v>
      </c>
    </row>
    <row r="50" spans="1:17" x14ac:dyDescent="0.3">
      <c r="A50" s="156" t="s">
        <v>12</v>
      </c>
      <c r="B50" s="157" t="s">
        <v>95</v>
      </c>
      <c r="C50" s="158">
        <f>COL!G50</f>
        <v>1300</v>
      </c>
      <c r="D50" s="159">
        <f>COL!H50</f>
        <v>1228.8809315954195</v>
      </c>
      <c r="E50" s="160">
        <f>ABS(D50-C50)</f>
        <v>71.119068404580503</v>
      </c>
      <c r="F50" s="161">
        <f>COL!M50</f>
        <v>830.85206120432395</v>
      </c>
      <c r="G50" s="161">
        <f>COL!N50</f>
        <v>1462.7857225043974</v>
      </c>
      <c r="H50" s="159">
        <f>F50-C50</f>
        <v>-469.14793879567605</v>
      </c>
      <c r="I50" s="159">
        <f>G50-C50</f>
        <v>162.78572250439743</v>
      </c>
      <c r="J50" s="160">
        <f>MAX(ABS(H50),ABS(I50))</f>
        <v>469.14793879567605</v>
      </c>
      <c r="K50" s="161">
        <f>COL!Q50</f>
        <v>1089.1616945954474</v>
      </c>
      <c r="L50" s="161">
        <f>COL!R50</f>
        <v>1337.5421287388651</v>
      </c>
      <c r="M50" s="162">
        <f>COL!Q50-SummaryQuantCOL!C50</f>
        <v>-210.83830540455256</v>
      </c>
      <c r="N50" s="162">
        <f>COL!R50-SummaryQuantCOL!C50</f>
        <v>37.542128738865131</v>
      </c>
      <c r="O50" s="160">
        <f>MAX(ABS(M50),ABS(N50))</f>
        <v>210.83830540455256</v>
      </c>
      <c r="P50" s="163" t="str">
        <f>IF(OR(E50&lt;J50,E50&lt;O50),"YES","NO")</f>
        <v>YES</v>
      </c>
    </row>
    <row r="51" spans="1:17" x14ac:dyDescent="0.3">
      <c r="A51" s="148"/>
      <c r="B51" s="149" t="s">
        <v>96</v>
      </c>
      <c r="C51" s="164">
        <f>COL!G51</f>
        <v>2200</v>
      </c>
      <c r="D51" s="151">
        <f>COL!H51</f>
        <v>1991.1685984201572</v>
      </c>
      <c r="E51" s="152">
        <f>ABS(D51-C51)</f>
        <v>208.8314015798428</v>
      </c>
      <c r="F51" s="153">
        <f>COL!M51</f>
        <v>1678.200178485477</v>
      </c>
      <c r="G51" s="153">
        <f>COL!N51</f>
        <v>2488.1568080114976</v>
      </c>
      <c r="H51" s="151">
        <f>F51-C51</f>
        <v>-521.79982151452305</v>
      </c>
      <c r="I51" s="151">
        <f>G51-C51</f>
        <v>288.15680801149756</v>
      </c>
      <c r="J51" s="152">
        <f>MAX(ABS(H51),ABS(I51))</f>
        <v>521.79982151452305</v>
      </c>
      <c r="K51" s="153">
        <f>COL!Q51</f>
        <v>1960.7479574065437</v>
      </c>
      <c r="L51" s="153">
        <f>COL!R51</f>
        <v>2279.3649603367239</v>
      </c>
      <c r="M51" s="154">
        <f>COL!Q51-SummaryQuantCOL!C51</f>
        <v>-239.25204259345628</v>
      </c>
      <c r="N51" s="154">
        <f>COL!R51-SummaryQuantCOL!C51</f>
        <v>79.364960336723925</v>
      </c>
      <c r="O51" s="152">
        <f>MAX(ABS(M51),ABS(N51))</f>
        <v>239.25204259345628</v>
      </c>
      <c r="P51" s="155" t="str">
        <f>IF(OR(E51&lt;J51,E51&lt;O51),"YES","NO")</f>
        <v>YES</v>
      </c>
    </row>
    <row r="52" spans="1:17" ht="15" customHeight="1" x14ac:dyDescent="0.3">
      <c r="A52" s="165" t="s">
        <v>14</v>
      </c>
      <c r="B52" s="166" t="s">
        <v>106</v>
      </c>
      <c r="C52" s="167"/>
      <c r="D52" s="168"/>
      <c r="E52" s="168"/>
      <c r="F52" s="168"/>
      <c r="G52" s="168"/>
      <c r="H52" s="168"/>
      <c r="I52" s="168"/>
      <c r="J52" s="168"/>
      <c r="K52" s="168"/>
      <c r="L52" s="168"/>
      <c r="M52" s="168"/>
      <c r="N52" s="168"/>
      <c r="O52" s="168"/>
      <c r="P52" s="169"/>
    </row>
    <row r="53" spans="1:17" ht="16.8" customHeight="1" x14ac:dyDescent="0.3">
      <c r="A53" s="170"/>
      <c r="B53" s="171" t="s">
        <v>105</v>
      </c>
      <c r="C53" s="172"/>
      <c r="D53" s="173"/>
      <c r="E53" s="173"/>
      <c r="F53" s="173"/>
      <c r="G53" s="173"/>
      <c r="H53" s="173"/>
      <c r="I53" s="173"/>
      <c r="J53" s="173"/>
      <c r="K53" s="173"/>
      <c r="L53" s="173"/>
      <c r="M53" s="173"/>
      <c r="N53" s="173"/>
      <c r="O53" s="173"/>
      <c r="P53" s="174"/>
    </row>
    <row r="54" spans="1:17" x14ac:dyDescent="0.3">
      <c r="A54" s="165" t="s">
        <v>15</v>
      </c>
      <c r="B54" s="157" t="s">
        <v>95</v>
      </c>
      <c r="C54" s="175">
        <f>COL!G54</f>
        <v>2800</v>
      </c>
      <c r="D54" s="159">
        <f>COL!H54</f>
        <v>2703.887887752423</v>
      </c>
      <c r="E54" s="160">
        <f>ABS(D54-C54)</f>
        <v>96.112112247576988</v>
      </c>
      <c r="F54" s="161">
        <f>COL!M54</f>
        <v>2580.4454766531917</v>
      </c>
      <c r="G54" s="161">
        <f>COL!N54</f>
        <v>2761.5197222730121</v>
      </c>
      <c r="H54" s="159">
        <f>F54-C54</f>
        <v>-219.55452334680831</v>
      </c>
      <c r="I54" s="159">
        <f>G54-C54</f>
        <v>-38.480277726987879</v>
      </c>
      <c r="J54" s="160">
        <f>MAX(ABS(H54),ABS(I54))</f>
        <v>219.55452334680831</v>
      </c>
      <c r="K54" s="161">
        <f>COL!Q54</f>
        <v>2653.6694475474255</v>
      </c>
      <c r="L54" s="161">
        <f>COL!R54</f>
        <v>2802.680416114847</v>
      </c>
      <c r="M54" s="162">
        <f>COL!Q54-SummaryQuantCOL!C54</f>
        <v>-146.33055245257447</v>
      </c>
      <c r="N54" s="162">
        <f>COL!R54-SummaryQuantCOL!C54</f>
        <v>2.6804161148470484</v>
      </c>
      <c r="O54" s="160">
        <f>MAX(ABS(M54),ABS(N54))</f>
        <v>146.33055245257447</v>
      </c>
      <c r="P54" s="163" t="str">
        <f>IF(OR(E54&lt;J54,E54&lt;O54),"YES","NO")</f>
        <v>YES</v>
      </c>
    </row>
    <row r="55" spans="1:17" x14ac:dyDescent="0.3">
      <c r="A55" s="170"/>
      <c r="B55" s="149" t="s">
        <v>96</v>
      </c>
      <c r="C55" s="150">
        <f>COL!G55</f>
        <v>8200</v>
      </c>
      <c r="D55" s="151">
        <f>COL!H55</f>
        <v>8354.8387848512793</v>
      </c>
      <c r="E55" s="152">
        <f>ABS(D55-C55)</f>
        <v>154.83878485127934</v>
      </c>
      <c r="F55" s="153">
        <f>COL!M55</f>
        <v>8088.7193801684189</v>
      </c>
      <c r="G55" s="153">
        <f>COL!N55</f>
        <v>8394.1254835039381</v>
      </c>
      <c r="H55" s="151">
        <f>F55-C55</f>
        <v>-111.28061983158113</v>
      </c>
      <c r="I55" s="151">
        <f>G55-C55</f>
        <v>194.12548350393809</v>
      </c>
      <c r="J55" s="152">
        <f>MAX(ABS(H55),ABS(I55))</f>
        <v>194.12548350393809</v>
      </c>
      <c r="K55" s="153">
        <f>COL!Q55</f>
        <v>8182.7173141044741</v>
      </c>
      <c r="L55" s="153">
        <f>COL!R55</f>
        <v>8433.3304503609288</v>
      </c>
      <c r="M55" s="154">
        <f>COL!Q55-SummaryQuantCOL!C55</f>
        <v>-17.282685895525901</v>
      </c>
      <c r="N55" s="154">
        <f>COL!R55-SummaryQuantCOL!C55</f>
        <v>233.33045036092881</v>
      </c>
      <c r="O55" s="152">
        <f>MAX(ABS(M55),ABS(N55))</f>
        <v>233.33045036092881</v>
      </c>
      <c r="P55" s="155" t="str">
        <f>IF(OR(E55&lt;J55,E55&lt;O55),"YES","NO")</f>
        <v>YES</v>
      </c>
    </row>
    <row r="56" spans="1:17" ht="13.8" customHeight="1" x14ac:dyDescent="0.3">
      <c r="A56" s="165" t="s">
        <v>16</v>
      </c>
      <c r="B56" s="166" t="s">
        <v>106</v>
      </c>
      <c r="C56" s="167"/>
      <c r="D56" s="168"/>
      <c r="E56" s="168"/>
      <c r="F56" s="168"/>
      <c r="G56" s="168"/>
      <c r="H56" s="168"/>
      <c r="I56" s="168"/>
      <c r="J56" s="168"/>
      <c r="K56" s="168"/>
      <c r="L56" s="168"/>
      <c r="M56" s="168"/>
      <c r="N56" s="168"/>
      <c r="O56" s="168"/>
      <c r="P56" s="169"/>
    </row>
    <row r="57" spans="1:17" ht="16.2" customHeight="1" x14ac:dyDescent="0.3">
      <c r="A57" s="170"/>
      <c r="B57" s="171" t="s">
        <v>105</v>
      </c>
      <c r="C57" s="172"/>
      <c r="D57" s="173"/>
      <c r="E57" s="173"/>
      <c r="F57" s="173"/>
      <c r="G57" s="173"/>
      <c r="H57" s="173"/>
      <c r="I57" s="173"/>
      <c r="J57" s="173"/>
      <c r="K57" s="173"/>
      <c r="L57" s="173"/>
      <c r="M57" s="173"/>
      <c r="N57" s="173"/>
      <c r="O57" s="173"/>
      <c r="P57" s="174"/>
    </row>
    <row r="58" spans="1:17" x14ac:dyDescent="0.3">
      <c r="A58" s="165" t="s">
        <v>17</v>
      </c>
      <c r="B58" s="157" t="s">
        <v>95</v>
      </c>
      <c r="C58" s="175">
        <f>COL!G58</f>
        <v>2</v>
      </c>
      <c r="D58" s="159">
        <f>COL!H58</f>
        <v>-14.609951377269558</v>
      </c>
      <c r="E58" s="160">
        <f t="shared" ref="E58:E69" si="12">ABS(D58-C58)</f>
        <v>16.60995137726956</v>
      </c>
      <c r="F58" s="161">
        <f>COL!M58</f>
        <v>-25.288209204949879</v>
      </c>
      <c r="G58" s="161">
        <f>COL!N58</f>
        <v>-10.249613989484441</v>
      </c>
      <c r="H58" s="159">
        <f t="shared" ref="H58:H69" si="13">F58-C58</f>
        <v>-27.288209204949879</v>
      </c>
      <c r="I58" s="159">
        <f t="shared" ref="I58:I69" si="14">G58-C58</f>
        <v>-12.249613989484441</v>
      </c>
      <c r="J58" s="160">
        <f t="shared" ref="J58:J69" si="15">MAX(ABS(H58),ABS(I58))</f>
        <v>27.288209204949879</v>
      </c>
      <c r="K58" s="161">
        <f>COL!Q58</f>
        <v>-21.026397311492598</v>
      </c>
      <c r="L58" s="161">
        <f>COL!R58</f>
        <v>-10.066768033737</v>
      </c>
      <c r="M58" s="162">
        <f>COL!Q58-SummaryQuantCOL!C58</f>
        <v>-23.026397311492598</v>
      </c>
      <c r="N58" s="162">
        <f>COL!R58-SummaryQuantCOL!C58</f>
        <v>-12.066768033737</v>
      </c>
      <c r="O58" s="160">
        <f t="shared" ref="O58:O69" si="16">MAX(ABS(M58),ABS(N58))</f>
        <v>23.026397311492598</v>
      </c>
      <c r="P58" s="163" t="str">
        <f t="shared" ref="P58:P69" si="17">IF(OR(E58&lt;J58,E58&lt;O58),"YES","NO")</f>
        <v>YES</v>
      </c>
    </row>
    <row r="59" spans="1:17" x14ac:dyDescent="0.3">
      <c r="A59" s="170"/>
      <c r="B59" s="149" t="s">
        <v>96</v>
      </c>
      <c r="C59" s="150">
        <f>COL!G59</f>
        <v>30</v>
      </c>
      <c r="D59" s="151">
        <f>COL!H59</f>
        <v>17.1392742059992</v>
      </c>
      <c r="E59" s="152">
        <f t="shared" si="12"/>
        <v>12.8607257940008</v>
      </c>
      <c r="F59" s="153">
        <f>COL!M59</f>
        <v>4.9984186923747984</v>
      </c>
      <c r="G59" s="153">
        <f>COL!N59</f>
        <v>35.838638874291199</v>
      </c>
      <c r="H59" s="151">
        <f t="shared" si="13"/>
        <v>-25.001581307625202</v>
      </c>
      <c r="I59" s="151">
        <f t="shared" si="14"/>
        <v>5.838638874291199</v>
      </c>
      <c r="J59" s="152">
        <f t="shared" si="15"/>
        <v>25.001581307625202</v>
      </c>
      <c r="K59" s="153">
        <f>COL!Q59</f>
        <v>2.6269587745734313</v>
      </c>
      <c r="L59" s="153">
        <f>COL!R59</f>
        <v>25.099415211675797</v>
      </c>
      <c r="M59" s="154">
        <f>COL!Q59-SummaryQuantCOL!C59</f>
        <v>-27.373041225426569</v>
      </c>
      <c r="N59" s="154">
        <f>COL!R59-SummaryQuantCOL!C59</f>
        <v>-4.9005847883242026</v>
      </c>
      <c r="O59" s="152">
        <f t="shared" si="16"/>
        <v>27.373041225426569</v>
      </c>
      <c r="P59" s="155" t="str">
        <f t="shared" si="17"/>
        <v>YES</v>
      </c>
    </row>
    <row r="60" spans="1:17" x14ac:dyDescent="0.3">
      <c r="A60" s="81" t="s">
        <v>19</v>
      </c>
      <c r="B60" s="78" t="s">
        <v>95</v>
      </c>
      <c r="C60" s="83">
        <f>COL!G60</f>
        <v>0.5</v>
      </c>
      <c r="D60" s="84">
        <f>COL!H60</f>
        <v>-1.9540399143009552</v>
      </c>
      <c r="E60" s="85">
        <f t="shared" si="12"/>
        <v>2.4540399143009552</v>
      </c>
      <c r="F60" s="86">
        <f>COL!M60</f>
        <v>-3.4901960784313757</v>
      </c>
      <c r="G60" s="86">
        <f>COL!N60</f>
        <v>-0.64362745098039498</v>
      </c>
      <c r="H60" s="84">
        <f t="shared" si="13"/>
        <v>-3.9901960784313757</v>
      </c>
      <c r="I60" s="84">
        <f t="shared" si="14"/>
        <v>-1.143627450980395</v>
      </c>
      <c r="J60" s="85">
        <f t="shared" si="15"/>
        <v>3.9901960784313757</v>
      </c>
      <c r="K60" s="86">
        <f>COL!Q60</f>
        <v>-2.8408767464555034</v>
      </c>
      <c r="L60" s="86">
        <f>COL!R60</f>
        <v>-1.0404269467873599</v>
      </c>
      <c r="M60" s="87">
        <f>COL!Q60-SummaryQuantCOL!C60</f>
        <v>-3.3408767464555034</v>
      </c>
      <c r="N60" s="87">
        <f>COL!R60-SummaryQuantCOL!C60</f>
        <v>-1.5404269467873599</v>
      </c>
      <c r="O60" s="85">
        <f t="shared" si="16"/>
        <v>3.3408767464555034</v>
      </c>
      <c r="P60" s="88" t="str">
        <f t="shared" si="17"/>
        <v>YES</v>
      </c>
    </row>
    <row r="61" spans="1:17" x14ac:dyDescent="0.3">
      <c r="A61" s="81"/>
      <c r="B61" s="78" t="s">
        <v>96</v>
      </c>
      <c r="C61" s="83">
        <f>COL!G61</f>
        <v>8</v>
      </c>
      <c r="D61" s="84">
        <f>COL!H61</f>
        <v>6.5661935085933187</v>
      </c>
      <c r="E61" s="85">
        <f t="shared" si="12"/>
        <v>1.4338064914066813</v>
      </c>
      <c r="F61" s="86">
        <f>COL!M61</f>
        <v>2.9068627450980418</v>
      </c>
      <c r="G61" s="86">
        <f>COL!N61</f>
        <v>9.3563725490195786</v>
      </c>
      <c r="H61" s="84">
        <f t="shared" si="13"/>
        <v>-5.0931372549019578</v>
      </c>
      <c r="I61" s="84">
        <f t="shared" si="14"/>
        <v>1.3563725490195786</v>
      </c>
      <c r="J61" s="85">
        <f t="shared" si="15"/>
        <v>5.0931372549019578</v>
      </c>
      <c r="K61" s="86">
        <f>COL!Q61</f>
        <v>2.5459720567119515</v>
      </c>
      <c r="L61" s="86">
        <f>COL!R61</f>
        <v>6.4595730532126403</v>
      </c>
      <c r="M61" s="87">
        <f>COL!Q61-SummaryQuantCOL!C61</f>
        <v>-5.4540279432880485</v>
      </c>
      <c r="N61" s="87">
        <f>COL!R61-SummaryQuantCOL!C61</f>
        <v>-1.5404269467873597</v>
      </c>
      <c r="O61" s="85">
        <f t="shared" si="16"/>
        <v>5.4540279432880485</v>
      </c>
      <c r="P61" s="88" t="str">
        <f t="shared" si="17"/>
        <v>YES</v>
      </c>
    </row>
    <row r="62" spans="1:17" x14ac:dyDescent="0.3">
      <c r="A62" s="165" t="s">
        <v>20</v>
      </c>
      <c r="B62" s="157" t="s">
        <v>95</v>
      </c>
      <c r="C62" s="175">
        <f>COL!G62</f>
        <v>25</v>
      </c>
      <c r="D62" s="159">
        <f>COL!H62</f>
        <v>-348.42186140953424</v>
      </c>
      <c r="E62" s="160">
        <f t="shared" si="12"/>
        <v>373.42186140953424</v>
      </c>
      <c r="F62" s="161">
        <f>COL!M62</f>
        <v>-496.15114632158253</v>
      </c>
      <c r="G62" s="161">
        <f>COL!N62</f>
        <v>-251.34897493376852</v>
      </c>
      <c r="H62" s="159">
        <f t="shared" si="13"/>
        <v>-521.15114632158247</v>
      </c>
      <c r="I62" s="159">
        <f t="shared" si="14"/>
        <v>-276.34897493376855</v>
      </c>
      <c r="J62" s="160">
        <f t="shared" si="15"/>
        <v>521.15114632158247</v>
      </c>
      <c r="K62" s="161">
        <f>COL!Q62</f>
        <v>-448.76199427327828</v>
      </c>
      <c r="L62" s="161">
        <f>COL!R62</f>
        <v>-249.56520729718378</v>
      </c>
      <c r="M62" s="162">
        <f>COL!Q62-SummaryQuantCOL!C62</f>
        <v>-473.76199427327828</v>
      </c>
      <c r="N62" s="162">
        <f>COL!R62-SummaryQuantCOL!C62</f>
        <v>-274.56520729718375</v>
      </c>
      <c r="O62" s="160">
        <f t="shared" si="16"/>
        <v>473.76199427327828</v>
      </c>
      <c r="P62" s="163" t="str">
        <f t="shared" si="17"/>
        <v>YES</v>
      </c>
    </row>
    <row r="63" spans="1:17" x14ac:dyDescent="0.3">
      <c r="A63" s="170"/>
      <c r="B63" s="149" t="s">
        <v>96</v>
      </c>
      <c r="C63" s="150">
        <f>COL!G63</f>
        <v>450</v>
      </c>
      <c r="D63" s="151">
        <f>COL!H63</f>
        <v>280.33939456072648</v>
      </c>
      <c r="E63" s="152">
        <f t="shared" si="12"/>
        <v>169.66060543927352</v>
      </c>
      <c r="F63" s="153">
        <f>COL!M63</f>
        <v>127.68813939270206</v>
      </c>
      <c r="G63" s="153">
        <f>COL!N63</f>
        <v>637.4527369064599</v>
      </c>
      <c r="H63" s="151">
        <f t="shared" si="13"/>
        <v>-322.31186060729794</v>
      </c>
      <c r="I63" s="151">
        <f t="shared" si="14"/>
        <v>187.4527369064599</v>
      </c>
      <c r="J63" s="152">
        <f t="shared" si="15"/>
        <v>322.31186060729794</v>
      </c>
      <c r="K63" s="153">
        <f>COL!Q63</f>
        <v>43.150281382329467</v>
      </c>
      <c r="L63" s="153">
        <f>COL!R63</f>
        <v>454.42026738281851</v>
      </c>
      <c r="M63" s="154">
        <f>COL!Q63-SummaryQuantCOL!C63</f>
        <v>-406.84971861767053</v>
      </c>
      <c r="N63" s="154">
        <f>COL!R63-SummaryQuantCOL!C63</f>
        <v>4.4202673828185084</v>
      </c>
      <c r="O63" s="152">
        <f t="shared" si="16"/>
        <v>406.84971861767053</v>
      </c>
      <c r="P63" s="155" t="str">
        <f t="shared" si="17"/>
        <v>YES</v>
      </c>
    </row>
    <row r="64" spans="1:17" x14ac:dyDescent="0.3">
      <c r="A64" s="81" t="s">
        <v>21</v>
      </c>
      <c r="B64" s="78" t="s">
        <v>95</v>
      </c>
      <c r="C64" s="83">
        <f>COL!G64</f>
        <v>225</v>
      </c>
      <c r="D64" s="84">
        <f>COL!H64</f>
        <v>266.70190551233867</v>
      </c>
      <c r="E64" s="85">
        <f t="shared" si="12"/>
        <v>41.701905512338669</v>
      </c>
      <c r="F64" s="86">
        <f>COL!M64</f>
        <v>139.11333863017256</v>
      </c>
      <c r="G64" s="86">
        <f>COL!N64</f>
        <v>350.27041813242641</v>
      </c>
      <c r="H64" s="84">
        <f t="shared" si="13"/>
        <v>-85.886661369827436</v>
      </c>
      <c r="I64" s="84">
        <f t="shared" si="14"/>
        <v>125.27041813242641</v>
      </c>
      <c r="J64" s="85">
        <f t="shared" si="15"/>
        <v>125.27041813242641</v>
      </c>
      <c r="K64" s="86">
        <f>COL!Q64</f>
        <v>185.63285754778326</v>
      </c>
      <c r="L64" s="86">
        <f>COL!R64</f>
        <v>308.59195677633409</v>
      </c>
      <c r="M64" s="87">
        <f>COL!Q64-SummaryQuantCOL!C64</f>
        <v>-39.36714245221674</v>
      </c>
      <c r="N64" s="87">
        <f>COL!R64-SummaryQuantCOL!C64</f>
        <v>83.591956776334086</v>
      </c>
      <c r="O64" s="85">
        <f t="shared" si="16"/>
        <v>83.591956776334086</v>
      </c>
      <c r="P64" s="88" t="str">
        <f t="shared" si="17"/>
        <v>YES</v>
      </c>
    </row>
    <row r="65" spans="1:16" x14ac:dyDescent="0.3">
      <c r="A65" s="81"/>
      <c r="B65" s="78" t="s">
        <v>96</v>
      </c>
      <c r="C65" s="83">
        <f>COL!G65</f>
        <v>350</v>
      </c>
      <c r="D65" s="84">
        <f>COL!H65</f>
        <v>410.29880831618613</v>
      </c>
      <c r="E65" s="85">
        <f t="shared" si="12"/>
        <v>60.298808316186125</v>
      </c>
      <c r="F65" s="86">
        <f>COL!M65</f>
        <v>264.11333863018132</v>
      </c>
      <c r="G65" s="86">
        <f>COL!N65</f>
        <v>531.53176153934021</v>
      </c>
      <c r="H65" s="84">
        <f t="shared" si="13"/>
        <v>-85.886661369818682</v>
      </c>
      <c r="I65" s="84">
        <f t="shared" si="14"/>
        <v>181.53176153934021</v>
      </c>
      <c r="J65" s="85">
        <f t="shared" si="15"/>
        <v>181.53176153934021</v>
      </c>
      <c r="K65" s="86">
        <f>COL!Q65</f>
        <v>285.77672330613575</v>
      </c>
      <c r="L65" s="86">
        <f>COL!R65</f>
        <v>441.5398232166541</v>
      </c>
      <c r="M65" s="87">
        <f>COL!Q65-SummaryQuantCOL!C65</f>
        <v>-64.22327669386425</v>
      </c>
      <c r="N65" s="87">
        <f>COL!R65-SummaryQuantCOL!C65</f>
        <v>91.539823216654099</v>
      </c>
      <c r="O65" s="85">
        <f t="shared" si="16"/>
        <v>91.539823216654099</v>
      </c>
      <c r="P65" s="88" t="str">
        <f t="shared" si="17"/>
        <v>YES</v>
      </c>
    </row>
    <row r="66" spans="1:16" x14ac:dyDescent="0.3">
      <c r="A66" s="165" t="s">
        <v>23</v>
      </c>
      <c r="B66" s="157" t="s">
        <v>95</v>
      </c>
      <c r="C66" s="175">
        <f>COL!G66</f>
        <v>0.55000000000000004</v>
      </c>
      <c r="D66" s="162">
        <f>COL!H66</f>
        <v>0.76043418282685016</v>
      </c>
      <c r="E66" s="176">
        <f t="shared" si="12"/>
        <v>0.21043418282685011</v>
      </c>
      <c r="F66" s="177">
        <f>COL!M66</f>
        <v>0.381213801979365</v>
      </c>
      <c r="G66" s="177">
        <f>COL!N66</f>
        <v>1.0371063016098261</v>
      </c>
      <c r="H66" s="162">
        <f t="shared" si="13"/>
        <v>-0.16878619802063505</v>
      </c>
      <c r="I66" s="162">
        <f t="shared" si="14"/>
        <v>0.48710630160982604</v>
      </c>
      <c r="J66" s="176">
        <f t="shared" si="15"/>
        <v>0.48710630160982604</v>
      </c>
      <c r="K66" s="177">
        <f>COL!Q66</f>
        <v>0.58469893639213066</v>
      </c>
      <c r="L66" s="177">
        <f>COL!R66</f>
        <v>1.0315081136413475</v>
      </c>
      <c r="M66" s="162">
        <f>COL!Q66-SummaryQuantCOL!C66</f>
        <v>3.4698936392130619E-2</v>
      </c>
      <c r="N66" s="162">
        <f>COL!R66-SummaryQuantCOL!C66</f>
        <v>0.48150811364134749</v>
      </c>
      <c r="O66" s="176">
        <f t="shared" si="16"/>
        <v>0.48150811364134749</v>
      </c>
      <c r="P66" s="163" t="str">
        <f t="shared" si="17"/>
        <v>YES</v>
      </c>
    </row>
    <row r="67" spans="1:16" x14ac:dyDescent="0.3">
      <c r="A67" s="170"/>
      <c r="B67" s="149" t="s">
        <v>96</v>
      </c>
      <c r="C67" s="150">
        <f>COL!G67</f>
        <v>0.98</v>
      </c>
      <c r="D67" s="154">
        <f>COL!H67</f>
        <v>1.2143637065125572</v>
      </c>
      <c r="E67" s="178">
        <f t="shared" si="12"/>
        <v>0.23436370651255722</v>
      </c>
      <c r="F67" s="179">
        <f>COL!M67</f>
        <v>0.81752246265517803</v>
      </c>
      <c r="G67" s="179">
        <f>COL!N67</f>
        <v>1.7124105087987938</v>
      </c>
      <c r="H67" s="154">
        <f t="shared" si="13"/>
        <v>-0.16247753734482195</v>
      </c>
      <c r="I67" s="154">
        <f t="shared" si="14"/>
        <v>0.73241050879879377</v>
      </c>
      <c r="J67" s="178">
        <f t="shared" si="15"/>
        <v>0.73241050879879377</v>
      </c>
      <c r="K67" s="179">
        <f>COL!Q67</f>
        <v>0.91834807296416354</v>
      </c>
      <c r="L67" s="179">
        <f>COL!R67</f>
        <v>1.5279484444681484</v>
      </c>
      <c r="M67" s="154">
        <f>COL!Q67-SummaryQuantCOL!C67</f>
        <v>-6.165192703583644E-2</v>
      </c>
      <c r="N67" s="154">
        <f>COL!R67-SummaryQuantCOL!C67</f>
        <v>0.54794844446814839</v>
      </c>
      <c r="O67" s="178">
        <f t="shared" si="16"/>
        <v>0.54794844446814839</v>
      </c>
      <c r="P67" s="155" t="str">
        <f t="shared" si="17"/>
        <v>YES</v>
      </c>
    </row>
    <row r="68" spans="1:16" x14ac:dyDescent="0.3">
      <c r="A68" s="81" t="s">
        <v>22</v>
      </c>
      <c r="B68" s="78" t="s">
        <v>95</v>
      </c>
      <c r="C68" s="104">
        <f>COL!G68</f>
        <v>0.7</v>
      </c>
      <c r="D68" s="87">
        <f>COL!H68</f>
        <v>0.78006589388656344</v>
      </c>
      <c r="E68" s="100">
        <f t="shared" si="12"/>
        <v>8.0065893886563488E-2</v>
      </c>
      <c r="F68" s="101">
        <f>COL!M68</f>
        <v>0.4419151909663942</v>
      </c>
      <c r="G68" s="101">
        <f>COL!N68</f>
        <v>1.0979477395054751</v>
      </c>
      <c r="H68" s="87">
        <f t="shared" si="13"/>
        <v>-0.25808480903360576</v>
      </c>
      <c r="I68" s="87">
        <f t="shared" si="14"/>
        <v>0.39794773950547513</v>
      </c>
      <c r="J68" s="100">
        <f t="shared" si="15"/>
        <v>0.39794773950547513</v>
      </c>
      <c r="K68" s="101">
        <f>COL!Q68</f>
        <v>0.63394775960394911</v>
      </c>
      <c r="L68" s="101">
        <f>COL!R68</f>
        <v>1.006685600257621</v>
      </c>
      <c r="M68" s="87">
        <f>COL!Q68-SummaryQuantCOL!C68</f>
        <v>-6.6052240396050843E-2</v>
      </c>
      <c r="N68" s="87">
        <f>COL!R68-SummaryQuantCOL!C68</f>
        <v>0.30668560025762104</v>
      </c>
      <c r="O68" s="100">
        <f t="shared" si="16"/>
        <v>0.30668560025762104</v>
      </c>
      <c r="P68" s="88" t="str">
        <f t="shared" si="17"/>
        <v>YES</v>
      </c>
    </row>
    <row r="69" spans="1:16" ht="15" thickBot="1" x14ac:dyDescent="0.35">
      <c r="A69" s="82"/>
      <c r="B69" s="89" t="s">
        <v>96</v>
      </c>
      <c r="C69" s="90">
        <f>COL!G69</f>
        <v>0.99</v>
      </c>
      <c r="D69" s="91">
        <f>COL!H69</f>
        <v>1.0710118239445499</v>
      </c>
      <c r="E69" s="102">
        <f t="shared" si="12"/>
        <v>8.1011823944549866E-2</v>
      </c>
      <c r="F69" s="103">
        <f>COL!M69</f>
        <v>0.68683321233284089</v>
      </c>
      <c r="G69" s="103">
        <f>COL!N69</f>
        <v>1.4690987925985448</v>
      </c>
      <c r="H69" s="91">
        <f t="shared" si="13"/>
        <v>-0.3031667876671591</v>
      </c>
      <c r="I69" s="91">
        <f t="shared" si="14"/>
        <v>0.47909879259854482</v>
      </c>
      <c r="J69" s="102">
        <f t="shared" si="15"/>
        <v>0.47909879259854482</v>
      </c>
      <c r="K69" s="103">
        <f>COL!Q69</f>
        <v>0.85783021006641735</v>
      </c>
      <c r="L69" s="103">
        <f>COL!R69</f>
        <v>1.3032057097728587</v>
      </c>
      <c r="M69" s="91">
        <f>COL!Q69-SummaryQuantCOL!C69</f>
        <v>-0.13216978993358264</v>
      </c>
      <c r="N69" s="91">
        <f>COL!R69-SummaryQuantCOL!C69</f>
        <v>0.31320570977285866</v>
      </c>
      <c r="O69" s="102">
        <f t="shared" si="16"/>
        <v>0.31320570977285866</v>
      </c>
      <c r="P69" s="92" t="str">
        <f t="shared" si="17"/>
        <v>YES</v>
      </c>
    </row>
  </sheetData>
  <conditionalFormatting sqref="P2:P23">
    <cfRule type="containsText" dxfId="2" priority="3" operator="containsText" text="NO">
      <formula>NOT(ISERROR(SEARCH("NO",P2)))</formula>
    </cfRule>
  </conditionalFormatting>
  <conditionalFormatting sqref="P25:P46">
    <cfRule type="containsText" dxfId="1" priority="2" operator="containsText" text="NO">
      <formula>NOT(ISERROR(SEARCH("NO",P25)))</formula>
    </cfRule>
  </conditionalFormatting>
  <conditionalFormatting sqref="P48:P69">
    <cfRule type="containsText" dxfId="0" priority="1" operator="containsText" text="NO">
      <formula>NOT(ISERROR(SEARCH("NO",P48)))</formula>
    </cfRule>
  </conditionalFormatting>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8FE33-DF3B-4BF3-A245-E865E12B436A}">
  <dimension ref="A1:W76"/>
  <sheetViews>
    <sheetView zoomScale="60" zoomScaleNormal="60" workbookViewId="0">
      <selection activeCell="F14" sqref="F14"/>
    </sheetView>
  </sheetViews>
  <sheetFormatPr defaultRowHeight="14.4" x14ac:dyDescent="0.3"/>
  <cols>
    <col min="1" max="1" width="24.33203125" customWidth="1"/>
    <col min="2" max="2" width="28.109375" customWidth="1"/>
    <col min="3" max="3" width="24.77734375" style="2" customWidth="1"/>
    <col min="4" max="4" width="22.21875" customWidth="1"/>
    <col min="5" max="5" width="23.6640625" customWidth="1"/>
    <col min="6" max="6" width="24.77734375" customWidth="1"/>
    <col min="7" max="7" width="12.21875" customWidth="1"/>
    <col min="8" max="8" width="13.88671875" customWidth="1"/>
    <col min="9" max="9" width="15.44140625" customWidth="1"/>
    <col min="10" max="10" width="16.88671875" customWidth="1"/>
    <col min="11" max="11" width="15.21875" customWidth="1"/>
    <col min="12" max="14" width="16.88671875" customWidth="1"/>
    <col min="15" max="15" width="15" customWidth="1"/>
    <col min="16" max="17" width="16.88671875" customWidth="1"/>
    <col min="18" max="18" width="20.6640625" customWidth="1"/>
    <col min="19" max="21" width="8.88671875" customWidth="1"/>
  </cols>
  <sheetData>
    <row r="1" spans="1:23" ht="55.2" customHeight="1" thickBot="1" x14ac:dyDescent="0.35">
      <c r="A1" t="s">
        <v>2</v>
      </c>
      <c r="B1" s="1" t="s">
        <v>40</v>
      </c>
      <c r="C1" s="1" t="s">
        <v>33</v>
      </c>
      <c r="D1" s="1" t="s">
        <v>34</v>
      </c>
      <c r="E1" s="1" t="s">
        <v>35</v>
      </c>
      <c r="F1" s="1" t="s">
        <v>184</v>
      </c>
      <c r="G1" s="1" t="s">
        <v>187</v>
      </c>
      <c r="H1" s="33" t="s">
        <v>85</v>
      </c>
      <c r="I1" s="33" t="s">
        <v>86</v>
      </c>
      <c r="J1" s="33" t="s">
        <v>87</v>
      </c>
      <c r="K1" s="79" t="s">
        <v>34</v>
      </c>
      <c r="L1" s="79" t="s">
        <v>84</v>
      </c>
      <c r="M1" s="79" t="s">
        <v>82</v>
      </c>
      <c r="N1" s="79" t="s">
        <v>83</v>
      </c>
      <c r="O1" s="64" t="s">
        <v>35</v>
      </c>
      <c r="P1" s="64" t="s">
        <v>84</v>
      </c>
      <c r="Q1" s="64" t="s">
        <v>82</v>
      </c>
      <c r="R1" s="64" t="s">
        <v>83</v>
      </c>
    </row>
    <row r="2" spans="1:23" x14ac:dyDescent="0.3">
      <c r="A2" s="3" t="s">
        <v>0</v>
      </c>
      <c r="B2" s="4" t="s">
        <v>5</v>
      </c>
      <c r="C2" s="25" t="str">
        <f>'Intermediate COL'!C2</f>
        <v>-71.15 (-117.81, -30.39)</v>
      </c>
      <c r="D2" s="66" t="str">
        <f>'Intermediate COL'!G2</f>
        <v>-14.36 (-44.40, 12.83)</v>
      </c>
      <c r="E2" s="114" t="str">
        <f>'Intermediate COL'!K2</f>
        <v>8.40 (-15.92, 31.76)</v>
      </c>
      <c r="F2" s="20"/>
      <c r="G2" s="32">
        <v>1500</v>
      </c>
      <c r="H2" s="50">
        <f>'Intermediate COL'!D2+COL!$G2*'Intermediate COL'!D3</f>
        <v>1498.6322735141034</v>
      </c>
      <c r="I2" s="46">
        <f>'Intermediate COL'!E2+COL!$G2*'Intermediate COL'!E3</f>
        <v>1432.3214506531338</v>
      </c>
      <c r="J2" s="46">
        <f>'Intermediate COL'!F2+COL!$G2*'Intermediate COL'!F3</f>
        <v>1567.8293512134694</v>
      </c>
      <c r="K2" s="44"/>
      <c r="L2" s="46">
        <f>'Intermediate COL'!H2+COL!$G2*'Intermediate COL'!H3</f>
        <v>1497.0247135642087</v>
      </c>
      <c r="M2" s="46">
        <f>'Intermediate COL'!I2+COL!$G2*'Intermediate COL'!I3</f>
        <v>1452.6093648937319</v>
      </c>
      <c r="N2" s="46">
        <f>'Intermediate COL'!J2+COL!$G2*'Intermediate COL'!J3</f>
        <v>1541.7734455411487</v>
      </c>
      <c r="O2" s="44"/>
      <c r="P2" s="46">
        <f>'Intermediate COL'!L2+COL!$G2*'Intermediate COL'!L3</f>
        <v>1468.5562833066226</v>
      </c>
      <c r="Q2" s="43">
        <f>'Intermediate COL'!M2+COL!$G2*'Intermediate COL'!M3</f>
        <v>1430.2695432176274</v>
      </c>
      <c r="R2" s="43">
        <f>'Intermediate COL'!N2+COL!$G2*'Intermediate COL'!N3</f>
        <v>1506.6125093450466</v>
      </c>
      <c r="S2" s="18" t="s">
        <v>41</v>
      </c>
    </row>
    <row r="3" spans="1:23" x14ac:dyDescent="0.3">
      <c r="A3" s="5"/>
      <c r="B3" s="6" t="s">
        <v>6</v>
      </c>
      <c r="C3" s="22" t="str">
        <f>'Intermediate COL'!C3</f>
        <v>1.05 (1.03, 1.07)</v>
      </c>
      <c r="D3" s="112" t="str">
        <f>'Intermediate COL'!G3</f>
        <v>1.01 (1.00, 1.02)</v>
      </c>
      <c r="E3" s="115" t="str">
        <f>'Intermediate COL'!K3</f>
        <v>0.97 (0.96, 0.98)</v>
      </c>
      <c r="F3" s="20"/>
      <c r="G3" s="32">
        <v>6000</v>
      </c>
      <c r="H3" s="50">
        <f>'Intermediate COL'!D2+COL!$G3*'Intermediate COL'!D3</f>
        <v>6207.9926266582879</v>
      </c>
      <c r="I3" s="46">
        <f>'Intermediate COL'!E2+COL!$G3*'Intermediate COL'!E3</f>
        <v>6082.7240324171535</v>
      </c>
      <c r="J3" s="46">
        <f>'Intermediate COL'!F2+COL!$G3*'Intermediate COL'!F3</f>
        <v>6362.4766957800393</v>
      </c>
      <c r="K3" s="44"/>
      <c r="L3" s="46">
        <f>'Intermediate COL'!H2+COL!$G3*'Intermediate COL'!H3</f>
        <v>6031.1797874443992</v>
      </c>
      <c r="M3" s="46">
        <f>'Intermediate COL'!I2+COL!$G3*'Intermediate COL'!I3</f>
        <v>5943.635462835301</v>
      </c>
      <c r="N3" s="46">
        <f>'Intermediate COL'!J2+COL!$G3*'Intermediate COL'!J3</f>
        <v>6128.5914072617688</v>
      </c>
      <c r="O3" s="44"/>
      <c r="P3" s="46">
        <f>'Intermediate COL'!L2+COL!$G3*'Intermediate COL'!L3</f>
        <v>5849.0378830545615</v>
      </c>
      <c r="Q3" s="43">
        <f>'Intermediate COL'!M2+COL!$G3*'Intermediate COL'!M3</f>
        <v>5768.8278458077029</v>
      </c>
      <c r="R3" s="43">
        <f>'Intermediate COL'!N2+COL!$G3*'Intermediate COL'!N3</f>
        <v>5931.1831560905512</v>
      </c>
      <c r="T3" t="s">
        <v>42</v>
      </c>
    </row>
    <row r="4" spans="1:23" x14ac:dyDescent="0.3">
      <c r="A4" s="5" t="s">
        <v>12</v>
      </c>
      <c r="B4" s="6" t="s">
        <v>5</v>
      </c>
      <c r="C4" s="22" t="str">
        <f>'Intermediate COL'!C4</f>
        <v>239.46 (168.29, 293.68)</v>
      </c>
      <c r="D4" s="112" t="str">
        <f>'Intermediate COL'!G4</f>
        <v>49.50 (-65.26, 139.46)</v>
      </c>
      <c r="E4" s="115" t="str">
        <f>'Intermediate COL'!K4</f>
        <v>182.93 (19.44, 345.03)</v>
      </c>
      <c r="F4" s="20"/>
      <c r="G4" s="32">
        <v>1300</v>
      </c>
      <c r="H4" s="51">
        <f>'Intermediate COL'!D4+COL!$G4*'Intermediate COL'!D5</f>
        <v>1338.8521939175387</v>
      </c>
      <c r="I4" s="47">
        <f>'Intermediate COL'!E4+COL!$G4*'Intermediate COL'!E5</f>
        <v>1226.5825141979828</v>
      </c>
      <c r="J4" s="47">
        <f>'Intermediate COL'!F4+COL!$G4*'Intermediate COL'!F5</f>
        <v>1450.9647384838051</v>
      </c>
      <c r="K4" s="20"/>
      <c r="L4" s="46">
        <f>'Intermediate COL'!H4+COL!$G4*'Intermediate COL'!H5</f>
        <v>1349.5000000000002</v>
      </c>
      <c r="M4" s="46">
        <f>'Intermediate COL'!I4+COL!$G4*'Intermediate COL'!I5</f>
        <v>1162.6914002713625</v>
      </c>
      <c r="N4" s="46">
        <f>'Intermediate COL'!J4+COL!$G4*'Intermediate COL'!J5</f>
        <v>1527.1746710260279</v>
      </c>
      <c r="O4" s="45"/>
      <c r="P4" s="46">
        <f>'Intermediate COL'!L4+COL!$G4*'Intermediate COL'!L5</f>
        <v>1447.109279068588</v>
      </c>
      <c r="Q4" s="46">
        <f>'Intermediate COL'!M4+COL!$G4*'Intermediate COL'!M5</f>
        <v>1160.493635258297</v>
      </c>
      <c r="R4" s="46">
        <f>'Intermediate COL'!N4+COL!$G4*'Intermediate COL'!N5</f>
        <v>1725.8102908549597</v>
      </c>
      <c r="U4" t="s">
        <v>46</v>
      </c>
    </row>
    <row r="5" spans="1:23" x14ac:dyDescent="0.3">
      <c r="A5" s="5"/>
      <c r="B5" s="6" t="s">
        <v>6</v>
      </c>
      <c r="C5" s="24" t="str">
        <f>'Intermediate COL'!C5</f>
        <v>0.85 (0.81, 0.89)</v>
      </c>
      <c r="D5" s="112" t="str">
        <f>'Intermediate COL'!G5</f>
        <v>1.00 (0.94, 1.07)</v>
      </c>
      <c r="E5" s="115" t="str">
        <f>'Intermediate COL'!K5</f>
        <v>0.97 (0.88, 1.06)</v>
      </c>
      <c r="F5" s="21"/>
      <c r="G5" s="55">
        <v>2200</v>
      </c>
      <c r="H5" s="51">
        <f>'Intermediate COL'!D4+COL!$G5*'Intermediate COL'!D5</f>
        <v>2099.9716144880504</v>
      </c>
      <c r="I5" s="47">
        <f>'Intermediate COL'!E4+COL!$G5*'Intermediate COL'!E5</f>
        <v>1959.2467611932914</v>
      </c>
      <c r="J5" s="47">
        <f>'Intermediate COL'!F4+COL!$G5*'Intermediate COL'!F5</f>
        <v>2252.1588847178377</v>
      </c>
      <c r="K5" s="21"/>
      <c r="L5" s="47">
        <f>'Intermediate COL'!H4+COL!$G5*'Intermediate COL'!H5</f>
        <v>2249.5</v>
      </c>
      <c r="M5" s="47">
        <f>'Intermediate COL'!I4+COL!$G5*'Intermediate COL'!I5</f>
        <v>2012.8110843562067</v>
      </c>
      <c r="N5" s="47">
        <f>'Intermediate COL'!J4+COL!$G5*'Intermediate COL'!J5</f>
        <v>2487.9006291363262</v>
      </c>
      <c r="O5" s="45"/>
      <c r="P5" s="47">
        <f>'Intermediate COL'!L4+COL!$G5*'Intermediate COL'!L5</f>
        <v>2322.3083669602024</v>
      </c>
      <c r="Q5" s="47">
        <f>'Intermediate COL'!M4+COL!$G5*'Intermediate COL'!M5</f>
        <v>1950.4515455687997</v>
      </c>
      <c r="R5" s="47">
        <f>'Intermediate COL'!N4+COL!$G5*'Intermediate COL'!N5</f>
        <v>2681.733816830344</v>
      </c>
      <c r="V5" t="s">
        <v>47</v>
      </c>
    </row>
    <row r="6" spans="1:23" x14ac:dyDescent="0.3">
      <c r="A6" s="5" t="s">
        <v>14</v>
      </c>
      <c r="B6" s="6" t="s">
        <v>5</v>
      </c>
      <c r="C6" s="24" t="str">
        <f>'Intermediate COL'!C6</f>
        <v>0.90 (0.21, 1.33)</v>
      </c>
      <c r="D6" s="112" t="str">
        <f>'Intermediate COL'!G6</f>
        <v>*0.76 (0.00, 0.00)</v>
      </c>
      <c r="E6" s="115" t="str">
        <f>'Intermediate COL'!K6</f>
        <v>4.00 (3.40, 5.33)</v>
      </c>
      <c r="F6" s="21"/>
      <c r="G6" s="55"/>
      <c r="H6" s="52"/>
      <c r="I6" s="21"/>
      <c r="J6" s="21"/>
      <c r="K6" s="21"/>
      <c r="L6" s="21"/>
      <c r="M6" s="21"/>
      <c r="N6" s="21"/>
      <c r="W6" t="s">
        <v>44</v>
      </c>
    </row>
    <row r="7" spans="1:23" x14ac:dyDescent="0.3">
      <c r="A7" s="5"/>
      <c r="B7" s="6" t="s">
        <v>6</v>
      </c>
      <c r="C7" s="24" t="str">
        <f>'Intermediate COL'!C7</f>
        <v>0.96 (0.85, 1.06)</v>
      </c>
      <c r="D7" s="112" t="str">
        <f>'Intermediate COL'!G7</f>
        <v>*0.93 (0.86, 1.01)</v>
      </c>
      <c r="E7" s="115" t="str">
        <f>'Intermediate COL'!K7</f>
        <v>1.00 (0.83, 1.20)</v>
      </c>
      <c r="F7" s="21"/>
      <c r="G7" s="55"/>
      <c r="H7" s="52"/>
      <c r="I7" s="21"/>
      <c r="J7" s="21"/>
      <c r="K7" s="21"/>
      <c r="L7" s="21"/>
      <c r="M7" s="21"/>
      <c r="N7" s="21"/>
      <c r="V7" t="s">
        <v>48</v>
      </c>
    </row>
    <row r="8" spans="1:23" x14ac:dyDescent="0.3">
      <c r="A8" s="5" t="s">
        <v>15</v>
      </c>
      <c r="B8" s="6" t="s">
        <v>5</v>
      </c>
      <c r="C8" s="24" t="str">
        <f>'Intermediate COL'!C8</f>
        <v>3.91 (-58.66, 58.80)</v>
      </c>
      <c r="D8" s="112" t="str">
        <f>'Intermediate COL'!G8</f>
        <v>54.57 (23.29, 82.75)</v>
      </c>
      <c r="E8" s="115" t="str">
        <f>'Intermediate COL'!K8</f>
        <v>206.68 (155.96, 264.31)</v>
      </c>
      <c r="F8" s="21"/>
      <c r="G8" s="55">
        <v>2800</v>
      </c>
      <c r="H8" s="53">
        <f>'Intermediate COL'!D8+COL!$G8*'Intermediate COL'!D9</f>
        <v>2838.3726232700587</v>
      </c>
      <c r="I8" s="48">
        <f>'Intermediate COL'!E8+COL!$G8*'Intermediate COL'!E9</f>
        <v>2738.1130191816396</v>
      </c>
      <c r="J8" s="48">
        <f>'Intermediate COL'!F8+COL!$G8*'Intermediate COL'!F9</f>
        <v>2932.6028090815648</v>
      </c>
      <c r="K8" s="48"/>
      <c r="L8" s="48">
        <f>'Intermediate COL'!H8+COL!$G8*'Intermediate COL'!H9</f>
        <v>2858.6580897357362</v>
      </c>
      <c r="M8" s="48">
        <f>'Intermediate COL'!I8+COL!$G8*'Intermediate COL'!I9</f>
        <v>2810.4311026117689</v>
      </c>
      <c r="N8" s="48">
        <f>'Intermediate COL'!J8+COL!$G8*'Intermediate COL'!J9</f>
        <v>2905.3104240700786</v>
      </c>
      <c r="O8" s="49"/>
      <c r="P8" s="48">
        <f>'Intermediate COL'!L8+COL!$G8*'Intermediate COL'!L9</f>
        <v>2922.2365442806122</v>
      </c>
      <c r="Q8" s="48">
        <f>'Intermediate COL'!M8+COL!$G8*'Intermediate COL'!M9</f>
        <v>2840.3338596759131</v>
      </c>
      <c r="R8" s="48">
        <f>'Intermediate COL'!N8+COL!$G8*'Intermediate COL'!N9</f>
        <v>3009.2728377736235</v>
      </c>
      <c r="W8" t="s">
        <v>49</v>
      </c>
    </row>
    <row r="9" spans="1:23" x14ac:dyDescent="0.3">
      <c r="A9" s="5"/>
      <c r="B9" s="6" t="s">
        <v>6</v>
      </c>
      <c r="C9" s="24" t="str">
        <f>'Intermediate COL'!C9</f>
        <v>1.01 (1.00, 1.03)</v>
      </c>
      <c r="D9" s="112" t="str">
        <f>'Intermediate COL'!G9</f>
        <v>1.00 (1.00, 1.01)</v>
      </c>
      <c r="E9" s="115" t="str">
        <f>'Intermediate COL'!K9</f>
        <v>0.97 (0.96, 0.98)</v>
      </c>
      <c r="F9" s="21"/>
      <c r="G9" s="55">
        <v>8200</v>
      </c>
      <c r="H9" s="53">
        <f>'Intermediate COL'!D8+COL!$G9*'Intermediate COL'!D9</f>
        <v>8304.8276119011061</v>
      </c>
      <c r="I9" s="48">
        <f>'Intermediate COL'!E8+COL!$G9*'Intermediate COL'!E9</f>
        <v>8131.8943923223505</v>
      </c>
      <c r="J9" s="48">
        <f>'Intermediate COL'!F8+COL!$G9*'Intermediate COL'!F9</f>
        <v>8474.9432245138833</v>
      </c>
      <c r="K9" s="48"/>
      <c r="L9" s="48">
        <f>'Intermediate COL'!H8+COL!$G9*'Intermediate COL'!H9</f>
        <v>8266.5454653593824</v>
      </c>
      <c r="M9" s="48">
        <f>'Intermediate COL'!I8+COL!$G9*'Intermediate COL'!I9</f>
        <v>8185.6268072763633</v>
      </c>
      <c r="N9" s="48">
        <f>'Intermediate COL'!J8+COL!$G9*'Intermediate COL'!J9</f>
        <v>8348.8259588476121</v>
      </c>
      <c r="O9" s="49"/>
      <c r="P9" s="48">
        <f>'Intermediate COL'!L8+COL!$G9*'Intermediate COL'!L9</f>
        <v>8159.3743456169805</v>
      </c>
      <c r="Q9" s="48">
        <f>'Intermediate COL'!M8+COL!$G9*'Intermediate COL'!M9</f>
        <v>8017.3338550790031</v>
      </c>
      <c r="R9" s="48">
        <f>'Intermediate COL'!N8+COL!$G9*'Intermediate COL'!N9</f>
        <v>8303.1272304157228</v>
      </c>
    </row>
    <row r="10" spans="1:23" x14ac:dyDescent="0.3">
      <c r="A10" s="5" t="s">
        <v>16</v>
      </c>
      <c r="B10" s="6" t="s">
        <v>5</v>
      </c>
      <c r="C10" s="24" t="str">
        <f>'Intermediate COL'!C10</f>
        <v>0.44 (-0.65, 1.35)</v>
      </c>
      <c r="D10" s="112" t="str">
        <f>'Intermediate COL'!G10</f>
        <v>*1.52 (0.00, 0.00)</v>
      </c>
      <c r="E10" s="115" t="str">
        <f>'Intermediate COL'!K10</f>
        <v>*2.94 (0.00, 0.00)</v>
      </c>
      <c r="F10" s="21"/>
      <c r="G10" s="55"/>
      <c r="H10" s="52"/>
      <c r="I10" s="21"/>
      <c r="J10" s="21"/>
      <c r="K10" s="21"/>
      <c r="L10" s="21"/>
      <c r="M10" s="21"/>
      <c r="N10" s="21"/>
      <c r="T10" t="s">
        <v>50</v>
      </c>
    </row>
    <row r="11" spans="1:23" x14ac:dyDescent="0.3">
      <c r="A11" s="5"/>
      <c r="B11" s="6" t="s">
        <v>6</v>
      </c>
      <c r="C11" s="24" t="str">
        <f>'Intermediate COL'!C11</f>
        <v>0.97 (0.91, 1.03)</v>
      </c>
      <c r="D11" s="112" t="str">
        <f>'Intermediate COL'!G11</f>
        <v>*0.95 (0.87, 1.03)</v>
      </c>
      <c r="E11" s="115" t="str">
        <f>'Intermediate COL'!K11</f>
        <v>*0.81 (0.73, 0.90)</v>
      </c>
      <c r="F11" s="21"/>
      <c r="G11" s="55"/>
      <c r="H11" s="52"/>
      <c r="I11" s="21"/>
      <c r="J11" s="21"/>
      <c r="K11" s="21"/>
      <c r="L11" s="21"/>
      <c r="M11" s="21"/>
      <c r="N11" s="21"/>
      <c r="U11" t="s">
        <v>45</v>
      </c>
    </row>
    <row r="12" spans="1:23" x14ac:dyDescent="0.3">
      <c r="A12" s="5" t="s">
        <v>17</v>
      </c>
      <c r="B12" s="6" t="s">
        <v>5</v>
      </c>
      <c r="C12" s="24" t="str">
        <f>'Intermediate COL'!C12</f>
        <v>-0.06 (-1.06, 0.25)</v>
      </c>
      <c r="D12" s="65" t="str">
        <f>'Intermediate COL'!G12</f>
        <v>-1.48 (-2.42, -0.97)</v>
      </c>
      <c r="E12" s="115" t="str">
        <f>'Intermediate COL'!K12</f>
        <v>14.20 (12.52, 16.68)</v>
      </c>
      <c r="F12" s="21"/>
      <c r="G12" s="55">
        <v>2</v>
      </c>
      <c r="H12" s="53">
        <f>'Intermediate COL'!D12+'Intermediate COL'!D13*COL!$G12</f>
        <v>1.5476440807434677</v>
      </c>
      <c r="I12" s="48">
        <f>'Intermediate COL'!E12+'Intermediate COL'!E13*COL!$G12</f>
        <v>0.48020961071189805</v>
      </c>
      <c r="J12" s="48">
        <f>'Intermediate COL'!F12+'Intermediate COL'!F13*COL!$G12</f>
        <v>2.0369860810829952</v>
      </c>
      <c r="K12" s="21"/>
      <c r="L12" s="48">
        <f>'Intermediate COL'!H12+'Intermediate COL'!H13*COL!$G12</f>
        <v>-1.047495429541212E-2</v>
      </c>
      <c r="M12" s="48">
        <f>'Intermediate COL'!I12+'Intermediate COL'!I13*COL!$G12</f>
        <v>-1.0644285144339078</v>
      </c>
      <c r="N12" s="48">
        <f>'Intermediate COL'!J12+'Intermediate COL'!J13*COL!$G12</f>
        <v>0.65329238489569508</v>
      </c>
      <c r="P12" s="48">
        <f>'Intermediate COL'!L12+'Intermediate COL'!L13*COL!$G12</f>
        <v>15.777628598380378</v>
      </c>
      <c r="Q12" s="48">
        <f>'Intermediate COL'!M12+'Intermediate COL'!M13*COL!$G12</f>
        <v>13.734304586452826</v>
      </c>
      <c r="R12" s="48">
        <f>'Intermediate COL'!N12+'Intermediate COL'!N13*COL!$G12</f>
        <v>18.526637008191763</v>
      </c>
      <c r="V12" t="s">
        <v>51</v>
      </c>
    </row>
    <row r="13" spans="1:23" x14ac:dyDescent="0.3">
      <c r="A13" s="5"/>
      <c r="B13" s="6" t="s">
        <v>6</v>
      </c>
      <c r="C13" s="24" t="str">
        <f>'Intermediate COL'!C13</f>
        <v>0.80 (0.77, 0.89)</v>
      </c>
      <c r="D13" s="112" t="str">
        <f>'Intermediate COL'!G13</f>
        <v>0.73 (0.68, 0.81)</v>
      </c>
      <c r="E13" s="115" t="str">
        <f>'Intermediate COL'!K13</f>
        <v>0.79 (0.61, 0.92)</v>
      </c>
      <c r="F13" s="21"/>
      <c r="G13" s="55">
        <v>30</v>
      </c>
      <c r="H13" s="53">
        <f>'Intermediate COL'!D12+'Intermediate COL'!D13*COL!$G13</f>
        <v>23.999335518888191</v>
      </c>
      <c r="I13" s="48">
        <f>'Intermediate COL'!E12+'Intermediate COL'!E13*COL!$G13</f>
        <v>22.011823062653328</v>
      </c>
      <c r="J13" s="48">
        <f>'Intermediate COL'!F12+'Intermediate COL'!F13*COL!$G13</f>
        <v>27.055006743907555</v>
      </c>
      <c r="K13" s="21"/>
      <c r="L13" s="48">
        <f>'Intermediate COL'!H12+'Intermediate COL'!H13*COL!$G13</f>
        <v>20.541899817181637</v>
      </c>
      <c r="M13" s="48">
        <f>'Intermediate COL'!I12+'Intermediate COL'!I13*COL!$G13</f>
        <v>17.967020653559342</v>
      </c>
      <c r="N13" s="48">
        <f>'Intermediate COL'!J12+'Intermediate COL'!J13*COL!$G13</f>
        <v>23.422983092203491</v>
      </c>
      <c r="P13" s="48">
        <f>'Intermediate COL'!L12+'Intermediate COL'!L13*COL!$G13</f>
        <v>37.920952471183071</v>
      </c>
      <c r="Q13" s="48">
        <f>'Intermediate COL'!M12+'Intermediate COL'!M13*COL!$G13</f>
        <v>30.745146857199991</v>
      </c>
      <c r="R13" s="48">
        <f>'Intermediate COL'!N12+'Intermediate COL'!N13*COL!$G13</f>
        <v>44.412648572696632</v>
      </c>
      <c r="W13" t="s">
        <v>52</v>
      </c>
    </row>
    <row r="14" spans="1:23" x14ac:dyDescent="0.3">
      <c r="A14" s="5" t="s">
        <v>19</v>
      </c>
      <c r="B14" s="6" t="s">
        <v>5</v>
      </c>
      <c r="C14" s="24" t="str">
        <f>'Intermediate COL'!C14</f>
        <v>0.21 (-0.14, 0.49)</v>
      </c>
      <c r="D14" s="65" t="str">
        <f>'Intermediate COL'!G14</f>
        <v>-0.14 (-0.33, 0.01)</v>
      </c>
      <c r="E14" s="115" t="str">
        <f>'Intermediate COL'!K14</f>
        <v>2.30 (1.54, 2.94)</v>
      </c>
      <c r="F14" s="21"/>
      <c r="G14" s="55">
        <v>0.5</v>
      </c>
      <c r="H14" s="53">
        <f>'Intermediate COL'!D14+'Intermediate COL'!D15*COL!$G14</f>
        <v>0.70776867257741349</v>
      </c>
      <c r="I14" s="48">
        <f>'Intermediate COL'!E14+'Intermediate COL'!E15*COL!$G14</f>
        <v>0.31173629572308947</v>
      </c>
      <c r="J14" s="48">
        <f>'Intermediate COL'!F14+'Intermediate COL'!F15*COL!$G14</f>
        <v>1.050558843522448</v>
      </c>
      <c r="K14" s="21"/>
      <c r="L14" s="48">
        <f>'Intermediate COL'!H14+'Intermediate COL'!H15*COL!$G14</f>
        <v>0.219444444444444</v>
      </c>
      <c r="M14" s="48">
        <f>'Intermediate COL'!I14+'Intermediate COL'!I15*COL!$G14</f>
        <v>1.0072281529614535E-2</v>
      </c>
      <c r="N14" s="48">
        <f>'Intermediate COL'!J14+'Intermediate COL'!J15*COL!$G14</f>
        <v>0.41263375087180681</v>
      </c>
      <c r="P14" s="48">
        <f>'Intermediate COL'!L14+'Intermediate COL'!L15*COL!$G14</f>
        <v>2.7676470588235271</v>
      </c>
      <c r="Q14" s="48">
        <f>'Intermediate COL'!M14+'Intermediate COL'!M15*COL!$G14</f>
        <v>1.9112068965517199</v>
      </c>
      <c r="R14" s="48">
        <f>'Intermediate COL'!N14+'Intermediate COL'!N15*COL!$G14</f>
        <v>3.5237068965517251</v>
      </c>
      <c r="V14" t="s">
        <v>53</v>
      </c>
    </row>
    <row r="15" spans="1:23" x14ac:dyDescent="0.3">
      <c r="A15" s="5"/>
      <c r="B15" s="6" t="s">
        <v>6</v>
      </c>
      <c r="C15" s="24" t="str">
        <f>'Intermediate COL'!C15</f>
        <v>0.99 (0.91, 1.12)</v>
      </c>
      <c r="D15" s="112" t="str">
        <f>'Intermediate COL'!G15</f>
        <v>0.72 (0.68, 0.80)</v>
      </c>
      <c r="E15" s="115" t="str">
        <f>'Intermediate COL'!K15</f>
        <v>0.94 (0.75, 1.17)</v>
      </c>
      <c r="F15" s="21"/>
      <c r="G15" s="55">
        <v>8</v>
      </c>
      <c r="H15" s="53">
        <f>'Intermediate COL'!D14+'Intermediate COL'!D15*COL!$G15</f>
        <v>8.165786707996066</v>
      </c>
      <c r="I15" s="48">
        <f>'Intermediate COL'!E14+'Intermediate COL'!E15*COL!$G15</f>
        <v>7.1496040902862665</v>
      </c>
      <c r="J15" s="48">
        <f>'Intermediate COL'!F14+'Intermediate COL'!F15*COL!$G15</f>
        <v>9.4817486518348471</v>
      </c>
      <c r="K15" s="21"/>
      <c r="L15" s="48">
        <f>'Intermediate COL'!H14+'Intermediate COL'!H15*COL!$G15</f>
        <v>5.6361111111111093</v>
      </c>
      <c r="M15" s="48">
        <f>'Intermediate COL'!I14+'Intermediate COL'!I15*COL!$G15</f>
        <v>5.0993579958153328</v>
      </c>
      <c r="N15" s="48">
        <f>'Intermediate COL'!J14+'Intermediate COL'!J15*COL!$G15</f>
        <v>6.4414257282346226</v>
      </c>
      <c r="P15" s="48">
        <f>'Intermediate COL'!L14+'Intermediate COL'!L15*COL!$G15</f>
        <v>9.8264705882352885</v>
      </c>
      <c r="Q15" s="48">
        <f>'Intermediate COL'!M14+'Intermediate COL'!M15*COL!$G15</f>
        <v>7.5362068965517199</v>
      </c>
      <c r="R15" s="48">
        <f>'Intermediate COL'!N14+'Intermediate COL'!N15*COL!$G15</f>
        <v>12.3168103448276</v>
      </c>
      <c r="W15" t="s">
        <v>54</v>
      </c>
    </row>
    <row r="16" spans="1:23" x14ac:dyDescent="0.3">
      <c r="A16" s="5" t="s">
        <v>20</v>
      </c>
      <c r="B16" s="6" t="s">
        <v>5</v>
      </c>
      <c r="C16" s="24" t="str">
        <f>'Intermediate COL'!C16</f>
        <v>-27.43 (-33.84, -22.85)</v>
      </c>
      <c r="D16" s="65" t="str">
        <f>'Intermediate COL'!G16</f>
        <v>-44.29 (-54.87, -39.05)</v>
      </c>
      <c r="E16" s="116" t="str">
        <f>'Intermediate COL'!K16</f>
        <v>232.15 (206.85, 254.79)</v>
      </c>
      <c r="F16" s="21"/>
      <c r="G16" s="55">
        <v>25</v>
      </c>
      <c r="H16" s="56">
        <f>'Intermediate COL'!D16+'Intermediate COL'!D17*COL!$G16</f>
        <v>-8.080446609869476</v>
      </c>
      <c r="I16" s="57">
        <f>'Intermediate COL'!E16+'Intermediate COL'!E17*COL!$G16</f>
        <v>-14.990384769790726</v>
      </c>
      <c r="J16" s="57">
        <f>'Intermediate COL'!F16+'Intermediate COL'!F17*COL!$G16</f>
        <v>-2.7838312225173745</v>
      </c>
      <c r="K16" s="21"/>
      <c r="L16" s="57">
        <f>'Intermediate COL'!H16+'Intermediate COL'!H17*COL!$G16</f>
        <v>-25.521303427120372</v>
      </c>
      <c r="M16" s="57">
        <f>'Intermediate COL'!I16+'Intermediate COL'!I17*COL!$G16</f>
        <v>-36.706338885189822</v>
      </c>
      <c r="N16" s="57">
        <f>'Intermediate COL'!J16+'Intermediate COL'!J17*COL!$G16</f>
        <v>-19.121839818628054</v>
      </c>
      <c r="O16" s="58"/>
      <c r="P16" s="57">
        <f>'Intermediate COL'!L16+'Intermediate COL'!L17*COL!$G16</f>
        <v>246.09541176470623</v>
      </c>
      <c r="Q16" s="57">
        <f>'Intermediate COL'!M16+'Intermediate COL'!M17*COL!$G16</f>
        <v>218.80782538844767</v>
      </c>
      <c r="R16" s="57">
        <f>'Intermediate COL'!N16+'Intermediate COL'!N17*COL!$G16</f>
        <v>271.8243655045593</v>
      </c>
    </row>
    <row r="17" spans="1:23" x14ac:dyDescent="0.3">
      <c r="A17" s="5"/>
      <c r="B17" s="6" t="s">
        <v>6</v>
      </c>
      <c r="C17" s="24" t="str">
        <f>'Intermediate COL'!C17</f>
        <v>0.77 (0.75, 0.80)</v>
      </c>
      <c r="D17" s="112" t="str">
        <f>'Intermediate COL'!G17</f>
        <v>0.75 (0.73, 0.80)</v>
      </c>
      <c r="E17" s="115" t="str">
        <f>'Intermediate COL'!K17</f>
        <v>0.56 (0.48, 0.68)</v>
      </c>
      <c r="F17" s="21"/>
      <c r="G17" s="55">
        <v>450</v>
      </c>
      <c r="H17" s="56">
        <f>'Intermediate COL'!D16+'Intermediate COL'!D17*COL!$G17</f>
        <v>320.88441155929451</v>
      </c>
      <c r="I17" s="57">
        <f>'Intermediate COL'!E16+'Intermediate COL'!E17*COL!$G17</f>
        <v>305.40144252137247</v>
      </c>
      <c r="J17" s="57">
        <f>'Intermediate COL'!F16+'Intermediate COL'!F17*COL!$G17</f>
        <v>338.27796942052993</v>
      </c>
      <c r="K17" s="21"/>
      <c r="L17" s="57">
        <f>'Intermediate COL'!H16+'Intermediate COL'!H17*COL!$G17</f>
        <v>293.62768727840893</v>
      </c>
      <c r="M17" s="57">
        <f>'Intermediate COL'!I16+'Intermediate COL'!I17*COL!$G17</f>
        <v>272.02005044884424</v>
      </c>
      <c r="N17" s="57">
        <f>'Intermediate COL'!J16+'Intermediate COL'!J17*COL!$G17</f>
        <v>319.65672489033716</v>
      </c>
      <c r="O17" s="58"/>
      <c r="P17" s="57">
        <f>'Intermediate COL'!L16+'Intermediate COL'!L17*COL!$G17</f>
        <v>483.09541176470606</v>
      </c>
      <c r="Q17" s="57">
        <f>'Intermediate COL'!M16+'Intermediate COL'!M17*COL!$G17</f>
        <v>422.03088132296318</v>
      </c>
      <c r="R17" s="57">
        <f>'Intermediate COL'!N16+'Intermediate COL'!N17*COL!$G17</f>
        <v>561.36207839993642</v>
      </c>
      <c r="T17" t="s">
        <v>55</v>
      </c>
    </row>
    <row r="18" spans="1:23" x14ac:dyDescent="0.3">
      <c r="A18" s="5" t="s">
        <v>21</v>
      </c>
      <c r="B18" s="6" t="s">
        <v>5</v>
      </c>
      <c r="C18" s="24" t="str">
        <f>'Intermediate COL'!C18</f>
        <v>54.82 (45.28, 62.88)</v>
      </c>
      <c r="D18" s="112" t="str">
        <f>'Intermediate COL'!G18</f>
        <v>65.26 (57.38, 70.64)</v>
      </c>
      <c r="E18" s="116" t="str">
        <f>'Intermediate COL'!K18</f>
        <v>29.68 (-24.00, 59.23)</v>
      </c>
      <c r="F18" s="21"/>
      <c r="G18" s="55">
        <v>225</v>
      </c>
      <c r="H18" s="53">
        <f>'Intermediate COL'!D18+'Intermediate COL'!D19*COL!$G18</f>
        <v>251.5803419092648</v>
      </c>
      <c r="I18" s="48">
        <f>'Intermediate COL'!E18+'Intermediate COL'!E19*COL!$G18</f>
        <v>235.33370570212617</v>
      </c>
      <c r="J18" s="48">
        <f>'Intermediate COL'!F18+'Intermediate COL'!F19*COL!$G18</f>
        <v>267.53840238734949</v>
      </c>
      <c r="K18" s="21"/>
      <c r="L18" s="48">
        <f>'Intermediate COL'!H18+'Intermediate COL'!H19*COL!$G18</f>
        <v>232.54373897156142</v>
      </c>
      <c r="M18" s="48">
        <f>'Intermediate COL'!I18+'Intermediate COL'!I19*COL!$G18</f>
        <v>220.36559494525983</v>
      </c>
      <c r="N18" s="48">
        <f>'Intermediate COL'!J18+'Intermediate COL'!J19*COL!$G18</f>
        <v>244.88745696542776</v>
      </c>
      <c r="O18" s="58"/>
      <c r="P18" s="48">
        <f>'Intermediate COL'!L18+'Intermediate COL'!L19*COL!$G18</f>
        <v>210.77932072640226</v>
      </c>
      <c r="Q18" s="48">
        <f>'Intermediate COL'!M18+'Intermediate COL'!M19*COL!$G18</f>
        <v>131.16270304179389</v>
      </c>
      <c r="R18" s="48">
        <f>'Intermediate COL'!N18+'Intermediate COL'!N19*COL!$G18</f>
        <v>284.22847348166573</v>
      </c>
      <c r="U18" t="s">
        <v>56</v>
      </c>
    </row>
    <row r="19" spans="1:23" x14ac:dyDescent="0.3">
      <c r="A19" s="5"/>
      <c r="B19" s="6" t="s">
        <v>6</v>
      </c>
      <c r="C19" s="24" t="str">
        <f>'Intermediate COL'!C19</f>
        <v>0.87 (0.84, 0.91)</v>
      </c>
      <c r="D19" s="112" t="str">
        <f>'Intermediate COL'!G19</f>
        <v>0.74 (0.72, 0.77)</v>
      </c>
      <c r="E19" s="116" t="str">
        <f>'Intermediate COL'!K19</f>
        <v>0.80 (0.69, 1.00)</v>
      </c>
      <c r="F19" s="21"/>
      <c r="G19" s="55">
        <v>350</v>
      </c>
      <c r="H19" s="53">
        <f>'Intermediate COL'!D18+'Intermediate COL'!D19*COL!$G19</f>
        <v>360.89112057781631</v>
      </c>
      <c r="I19" s="48">
        <f>'Intermediate COL'!E18+'Intermediate COL'!E19*COL!$G19</f>
        <v>340.91658191724486</v>
      </c>
      <c r="J19" s="48">
        <f>'Intermediate COL'!F18+'Intermediate COL'!F19*COL!$G19</f>
        <v>381.23685329630814</v>
      </c>
      <c r="K19" s="21"/>
      <c r="L19" s="48">
        <f>'Intermediate COL'!H18+'Intermediate COL'!H19*COL!$G19</f>
        <v>325.4779447866909</v>
      </c>
      <c r="M19" s="48">
        <f>'Intermediate COL'!I18+'Intermediate COL'!I19*COL!$G19</f>
        <v>310.91298094051956</v>
      </c>
      <c r="N19" s="48">
        <f>'Intermediate COL'!J18+'Intermediate COL'!J19*COL!$G19</f>
        <v>341.69310709140154</v>
      </c>
      <c r="O19" s="58"/>
      <c r="P19" s="48">
        <f>'Intermediate COL'!L18+'Intermediate COL'!L19*COL!$G19</f>
        <v>311.39247458972466</v>
      </c>
      <c r="Q19" s="48">
        <f>'Intermediate COL'!M18+'Intermediate COL'!M19*COL!$G19</f>
        <v>217.36420473166828</v>
      </c>
      <c r="R19" s="48">
        <f>'Intermediate COL'!N18+'Intermediate COL'!N19*COL!$G19</f>
        <v>409.22847348165681</v>
      </c>
      <c r="V19" t="s">
        <v>57</v>
      </c>
    </row>
    <row r="20" spans="1:23" x14ac:dyDescent="0.3">
      <c r="A20" s="5" t="s">
        <v>23</v>
      </c>
      <c r="B20" s="6" t="s">
        <v>5</v>
      </c>
      <c r="C20" s="24" t="str">
        <f>'Intermediate COL'!C20</f>
        <v>0.21 (0.12, 0.24)</v>
      </c>
      <c r="D20" s="112" t="str">
        <f>'Intermediate COL'!G20</f>
        <v>0.31 (0.24, 0.36)</v>
      </c>
      <c r="E20" s="116" t="str">
        <f>'Intermediate COL'!K20</f>
        <v>-0.05 (-0.17, 0.11)</v>
      </c>
      <c r="F20" s="21"/>
      <c r="G20" s="55">
        <v>0.55000000000000004</v>
      </c>
      <c r="H20" s="74">
        <f>'Intermediate COL'!D20+'Intermediate COL'!D21*COL!$G20</f>
        <v>0.64443117989569054</v>
      </c>
      <c r="I20" s="75">
        <f>'Intermediate COL'!E20+'Intermediate COL'!E21*COL!$G20</f>
        <v>0.54062014907768774</v>
      </c>
      <c r="J20" s="75">
        <f>'Intermediate COL'!F20+'Intermediate COL'!F21*COL!$G20</f>
        <v>0.73103270412931953</v>
      </c>
      <c r="K20" s="76"/>
      <c r="L20" s="75">
        <f>'Intermediate COL'!H20+'Intermediate COL'!H21*COL!$G20</f>
        <v>0.70065555555555514</v>
      </c>
      <c r="M20" s="75">
        <f>'Intermediate COL'!I20+'Intermediate COL'!I21*COL!$G20</f>
        <v>0.605254807692306</v>
      </c>
      <c r="N20" s="75">
        <f>'Intermediate COL'!J20+'Intermediate COL'!J21*COL!$G20</f>
        <v>0.78999759615384757</v>
      </c>
      <c r="O20" s="77"/>
      <c r="P20" s="75">
        <f>'Intermediate COL'!L20+'Intermediate COL'!L21*COL!$G20</f>
        <v>0.41098511615136923</v>
      </c>
      <c r="Q20" s="75">
        <f>'Intermediate COL'!M20+'Intermediate COL'!M21*COL!$G20</f>
        <v>0.17937385734969383</v>
      </c>
      <c r="R20" s="75">
        <f>'Intermediate COL'!N20+'Intermediate COL'!N21*COL!$G20</f>
        <v>0.65466015470282823</v>
      </c>
      <c r="V20" t="s">
        <v>58</v>
      </c>
    </row>
    <row r="21" spans="1:23" x14ac:dyDescent="0.3">
      <c r="A21" s="5"/>
      <c r="B21" s="6" t="s">
        <v>6</v>
      </c>
      <c r="C21" s="24" t="str">
        <f>'Intermediate COL'!C21</f>
        <v>0.79 (0.76, 0.89)</v>
      </c>
      <c r="D21" s="112" t="str">
        <f>'Intermediate COL'!G21</f>
        <v>0.71 (0.66, 0.79)</v>
      </c>
      <c r="E21" s="116" t="str">
        <f>'Intermediate COL'!K21</f>
        <v>0.83 (0.64, 0.99)</v>
      </c>
      <c r="F21" s="21"/>
      <c r="G21" s="55">
        <v>0.98</v>
      </c>
      <c r="H21" s="74">
        <f>'Intermediate COL'!D20+'Intermediate COL'!D21*COL!$G21</f>
        <v>0.98511309989393614</v>
      </c>
      <c r="I21" s="75">
        <f>'Intermediate COL'!E20+'Intermediate COL'!E21*COL!$G21</f>
        <v>0.86582818768807113</v>
      </c>
      <c r="J21" s="75">
        <f>'Intermediate COL'!F20+'Intermediate COL'!F21*COL!$G21</f>
        <v>1.1149659296141405</v>
      </c>
      <c r="K21" s="76"/>
      <c r="L21" s="75">
        <f>'Intermediate COL'!H20+'Intermediate COL'!H21*COL!$G21</f>
        <v>1.0064333333333328</v>
      </c>
      <c r="M21" s="75">
        <f>'Intermediate COL'!I20+'Intermediate COL'!I21*COL!$G21</f>
        <v>0.88744230769230592</v>
      </c>
      <c r="N21" s="75">
        <f>'Intermediate COL'!J20+'Intermediate COL'!J21*COL!$G21</f>
        <v>1.1290360576923102</v>
      </c>
      <c r="O21" s="77"/>
      <c r="P21" s="75">
        <f>'Intermediate COL'!L20+'Intermediate COL'!L21*COL!$G21</f>
        <v>0.77000700874844241</v>
      </c>
      <c r="Q21" s="75">
        <f>'Intermediate COL'!M20+'Intermediate COL'!M21*COL!$G21</f>
        <v>0.4531763866863131</v>
      </c>
      <c r="R21" s="75">
        <f>'Intermediate COL'!N20+'Intermediate COL'!N21*COL!$G21</f>
        <v>1.0784427120181066</v>
      </c>
      <c r="W21" t="s">
        <v>59</v>
      </c>
    </row>
    <row r="22" spans="1:23" x14ac:dyDescent="0.3">
      <c r="A22" s="5" t="s">
        <v>22</v>
      </c>
      <c r="B22" s="6" t="s">
        <v>5</v>
      </c>
      <c r="C22" s="24" t="str">
        <f>'Intermediate COL'!C22</f>
        <v>0.11 (0.03, 0.18)</v>
      </c>
      <c r="D22" s="112" t="str">
        <f>'Intermediate COL'!G22</f>
        <v>0.24 (0.17, 0.28)</v>
      </c>
      <c r="E22" s="116" t="str">
        <f>'Intermediate COL'!K22</f>
        <v>-0.04 (-0.24, 0.12)</v>
      </c>
      <c r="F22" s="21"/>
      <c r="G22" s="75">
        <v>0.7</v>
      </c>
      <c r="H22" s="74">
        <f>'Intermediate COL'!D22+'Intermediate COL'!D23*COL!$G22</f>
        <v>0.72846530850908087</v>
      </c>
      <c r="I22" s="75">
        <f>'Intermediate COL'!E22+'Intermediate COL'!E23*COL!$G22</f>
        <v>0.60032077980894549</v>
      </c>
      <c r="J22" s="75">
        <f>'Intermediate COL'!F22+'Intermediate COL'!F23*COL!$G22</f>
        <v>0.8553911977755364</v>
      </c>
      <c r="K22" s="76"/>
      <c r="L22" s="75">
        <f>'Intermediate COL'!H22+'Intermediate COL'!H23*COL!$G22</f>
        <v>0.77591725174064341</v>
      </c>
      <c r="M22" s="75">
        <f>'Intermediate COL'!I22+'Intermediate COL'!I23*COL!$G22</f>
        <v>0.67636714440577528</v>
      </c>
      <c r="N22" s="75">
        <f>'Intermediate COL'!J22+'Intermediate COL'!J23*COL!$G22</f>
        <v>0.87037510452548239</v>
      </c>
      <c r="O22" s="77"/>
      <c r="P22" s="75">
        <f>'Intermediate COL'!L22+'Intermediate COL'!L23*COL!$G22</f>
        <v>0.63219038884726908</v>
      </c>
      <c r="Q22" s="75">
        <f>'Intermediate COL'!M22+'Intermediate COL'!M23*COL!$G22</f>
        <v>0.3076870333655537</v>
      </c>
      <c r="R22" s="75">
        <f>'Intermediate COL'!N22+'Intermediate COL'!N23*COL!$G22</f>
        <v>0.94547839576335702</v>
      </c>
      <c r="W22" t="s">
        <v>60</v>
      </c>
    </row>
    <row r="23" spans="1:23" ht="15" thickBot="1" x14ac:dyDescent="0.35">
      <c r="A23" s="9"/>
      <c r="B23" s="10" t="s">
        <v>6</v>
      </c>
      <c r="C23" s="26" t="str">
        <f>'Intermediate COL'!C23</f>
        <v>0.89 (0.81, 0.97)</v>
      </c>
      <c r="D23" s="113" t="str">
        <f>'Intermediate COL'!G23</f>
        <v>0.77 (0.72, 0.84)</v>
      </c>
      <c r="E23" s="117" t="str">
        <f>'Intermediate COL'!K23</f>
        <v>0.96 (0.78, 1.18)</v>
      </c>
      <c r="F23" s="21"/>
      <c r="G23" s="55">
        <v>0.99</v>
      </c>
      <c r="H23" s="74">
        <f>'Intermediate COL'!D22+'Intermediate COL'!D23*COL!$G23</f>
        <v>0.98607186237110422</v>
      </c>
      <c r="I23" s="75">
        <f>'Intermediate COL'!E22+'Intermediate COL'!E23*COL!$G23</f>
        <v>0.83471882423382504</v>
      </c>
      <c r="J23" s="75">
        <f>'Intermediate COL'!F22+'Intermediate COL'!F23*COL!$G23</f>
        <v>1.1365506951149118</v>
      </c>
      <c r="K23" s="76"/>
      <c r="L23" s="75">
        <f>'Intermediate COL'!H22+'Intermediate COL'!H23*COL!$G23</f>
        <v>0.99796613680281199</v>
      </c>
      <c r="M23" s="75">
        <f>'Intermediate COL'!I22+'Intermediate COL'!I23*COL!$G23</f>
        <v>0.88503677955570081</v>
      </c>
      <c r="N23" s="75">
        <f>'Intermediate COL'!J22+'Intermediate COL'!J23*COL!$G23</f>
        <v>1.1142387408891192</v>
      </c>
      <c r="O23" s="77"/>
      <c r="P23" s="75">
        <f>'Intermediate COL'!L22+'Intermediate COL'!L23*COL!$G23</f>
        <v>0.91034394113800232</v>
      </c>
      <c r="Q23" s="75">
        <f>'Intermediate COL'!M22+'Intermediate COL'!M23*COL!$G23</f>
        <v>0.53427941212652941</v>
      </c>
      <c r="R23" s="75">
        <f>'Intermediate COL'!N22+'Intermediate COL'!N23*COL!$G23</f>
        <v>1.2888585991913821</v>
      </c>
    </row>
    <row r="24" spans="1:23" ht="51.6" customHeight="1" thickBot="1" x14ac:dyDescent="0.35">
      <c r="A24" t="s">
        <v>2</v>
      </c>
      <c r="B24" s="1" t="s">
        <v>25</v>
      </c>
      <c r="C24" s="1" t="s">
        <v>4</v>
      </c>
      <c r="D24" s="1" t="s">
        <v>36</v>
      </c>
      <c r="E24" s="1" t="s">
        <v>37</v>
      </c>
      <c r="F24" s="1" t="s">
        <v>185</v>
      </c>
      <c r="G24" s="1" t="s">
        <v>188</v>
      </c>
      <c r="H24" s="33" t="s">
        <v>88</v>
      </c>
      <c r="I24" s="33" t="s">
        <v>89</v>
      </c>
      <c r="J24" s="33" t="s">
        <v>90</v>
      </c>
      <c r="K24" s="1" t="s">
        <v>36</v>
      </c>
      <c r="L24" s="1" t="s">
        <v>84</v>
      </c>
      <c r="M24" s="1" t="s">
        <v>82</v>
      </c>
      <c r="N24" s="1" t="s">
        <v>83</v>
      </c>
      <c r="O24" s="1" t="s">
        <v>37</v>
      </c>
      <c r="P24" s="1" t="s">
        <v>84</v>
      </c>
      <c r="Q24" s="1" t="s">
        <v>82</v>
      </c>
      <c r="R24" s="1" t="s">
        <v>83</v>
      </c>
    </row>
    <row r="25" spans="1:23" x14ac:dyDescent="0.3">
      <c r="A25" s="3" t="s">
        <v>0</v>
      </c>
      <c r="B25" s="4" t="s">
        <v>5</v>
      </c>
      <c r="C25" s="27" t="str">
        <f>'Intermediate COL'!C25</f>
        <v>-55.97 (-69.12, -42.69)</v>
      </c>
      <c r="D25" s="66" t="str">
        <f>'Intermediate COL'!G25</f>
        <v>14.25 (-12.86, 43.56)</v>
      </c>
      <c r="E25" s="118" t="str">
        <f>'Intermediate COL'!K25</f>
        <v>21.28 (9.54, 32.67)</v>
      </c>
      <c r="F25" s="20"/>
      <c r="G25" s="32">
        <v>1500</v>
      </c>
      <c r="H25" s="50">
        <f>'Intermediate COL'!D25+'Intermediate COL'!D26*COL!$G25</f>
        <v>1502.4021015067265</v>
      </c>
      <c r="I25" s="46">
        <f>'Intermediate COL'!E25+'Intermediate COL'!E26*COL!$G25</f>
        <v>1483.0971405996106</v>
      </c>
      <c r="J25" s="46">
        <f>'Intermediate COL'!F25+'Intermediate COL'!F26*COL!$G25</f>
        <v>1522.7872492947545</v>
      </c>
      <c r="K25" s="20"/>
      <c r="L25" s="46">
        <f>'Intermediate COL'!H25+'Intermediate COL'!H26*COL!$G25</f>
        <v>1502.9528740730923</v>
      </c>
      <c r="M25" s="46">
        <f>'Intermediate COL'!I25+'Intermediate COL'!I26*COL!$G25</f>
        <v>1458.7486645767708</v>
      </c>
      <c r="N25" s="46">
        <f>'Intermediate COL'!J25+'Intermediate COL'!J26*COL!$G25</f>
        <v>1546.5562345383539</v>
      </c>
      <c r="P25" s="46">
        <f>'Intermediate COL'!L25+'Intermediate COL'!L26*COL!$G25</f>
        <v>1470.2749968740068</v>
      </c>
      <c r="Q25" s="46">
        <f>'Intermediate COL'!M25+'Intermediate COL'!M26*COL!$G25</f>
        <v>1451.5862546853373</v>
      </c>
      <c r="R25" s="46">
        <f>'Intermediate COL'!N25+'Intermediate COL'!N26*COL!$G25</f>
        <v>1487.5972802260874</v>
      </c>
    </row>
    <row r="26" spans="1:23" x14ac:dyDescent="0.3">
      <c r="A26" s="5"/>
      <c r="B26" s="6" t="s">
        <v>6</v>
      </c>
      <c r="C26" s="28" t="str">
        <f>'Intermediate COL'!C26</f>
        <v>1.04 (1.03, 1.04)</v>
      </c>
      <c r="D26" s="65" t="str">
        <f>'Intermediate COL'!G26</f>
        <v>0.99 (0.98, 1.00)</v>
      </c>
      <c r="E26" s="116" t="str">
        <f>'Intermediate COL'!K26</f>
        <v>0.97 (0.96, 0.97)</v>
      </c>
      <c r="F26" s="20"/>
      <c r="G26" s="32">
        <v>6000</v>
      </c>
      <c r="H26" s="50">
        <f>'Intermediate COL'!D25+'Intermediate COL'!D26*COL!$G26</f>
        <v>6177.5253010593069</v>
      </c>
      <c r="I26" s="46">
        <f>'Intermediate COL'!E25+'Intermediate COL'!E26*COL!$G26</f>
        <v>6139.7472036343461</v>
      </c>
      <c r="J26" s="46">
        <f>'Intermediate COL'!F25+'Intermediate COL'!F26*COL!$G26</f>
        <v>6219.2065339296241</v>
      </c>
      <c r="K26" s="20"/>
      <c r="L26" s="46">
        <f>'Intermediate COL'!H25+'Intermediate COL'!H26*COL!$G26</f>
        <v>5969.0550849687197</v>
      </c>
      <c r="M26" s="46">
        <f>'Intermediate COL'!I25+'Intermediate COL'!I26*COL!$G26</f>
        <v>5873.5739680871175</v>
      </c>
      <c r="N26" s="46">
        <f>'Intermediate COL'!J25+'Intermediate COL'!J26*COL!$G26</f>
        <v>6055.5480681154286</v>
      </c>
      <c r="P26" s="46">
        <f>'Intermediate COL'!L25+'Intermediate COL'!L26*COL!$G26</f>
        <v>5817.2575241031782</v>
      </c>
      <c r="Q26" s="46">
        <f>'Intermediate COL'!M25+'Intermediate COL'!M26*COL!$G26</f>
        <v>5777.7331341477875</v>
      </c>
      <c r="R26" s="46">
        <f>'Intermediate COL'!N25+'Intermediate COL'!N26*COL!$G26</f>
        <v>5852.3906963601275</v>
      </c>
    </row>
    <row r="27" spans="1:23" x14ac:dyDescent="0.3">
      <c r="A27" s="5" t="s">
        <v>12</v>
      </c>
      <c r="B27" s="6" t="s">
        <v>5</v>
      </c>
      <c r="C27" s="29" t="str">
        <f>'Intermediate COL'!C27</f>
        <v>199.12 (169.88, 222.27)</v>
      </c>
      <c r="D27" s="65" t="str">
        <f>'Intermediate COL'!G27</f>
        <v>-49.50 (-147.64, 61.13)</v>
      </c>
      <c r="E27" s="116" t="str">
        <f>'Intermediate COL'!K27</f>
        <v>81.00 (23.61, 162.26)</v>
      </c>
      <c r="F27" s="20"/>
      <c r="G27" s="32">
        <v>1300</v>
      </c>
      <c r="H27" s="50">
        <f>'Intermediate COL'!D27+'Intermediate COL'!D28*COL!$G27</f>
        <v>1299.4597900506353</v>
      </c>
      <c r="I27" s="46">
        <f>'Intermediate COL'!E27+'Intermediate COL'!E28*COL!$G27</f>
        <v>1253.0814381918747</v>
      </c>
      <c r="J27" s="46">
        <f>'Intermediate COL'!F27+'Intermediate COL'!F28*COL!$G27</f>
        <v>1345.1976553401071</v>
      </c>
      <c r="K27" s="20"/>
      <c r="L27" s="46">
        <f>'Intermediate COL'!H27+'Intermediate COL'!H28*COL!$G27</f>
        <v>1250.5000000000002</v>
      </c>
      <c r="M27" s="46">
        <f>'Intermediate COL'!I27+'Intermediate COL'!I28*COL!$G27</f>
        <v>1070.1869664118747</v>
      </c>
      <c r="N27" s="46">
        <f>'Intermediate COL'!J27+'Intermediate COL'!J28*COL!$G27</f>
        <v>1437.4111227955</v>
      </c>
      <c r="O27" s="58"/>
      <c r="P27" s="46">
        <f>'Intermediate COL'!L27+'Intermediate COL'!L28*COL!$G27</f>
        <v>1381.0000000000002</v>
      </c>
      <c r="Q27" s="46">
        <f>'Intermediate COL'!M27+'Intermediate COL'!M28*COL!$G27</f>
        <v>1265.8860050944159</v>
      </c>
      <c r="R27" s="46">
        <f>'Intermediate COL'!N27+'Intermediate COL'!N28*COL!$G27</f>
        <v>1504.6362615180319</v>
      </c>
    </row>
    <row r="28" spans="1:23" x14ac:dyDescent="0.3">
      <c r="A28" s="5"/>
      <c r="B28" s="6" t="s">
        <v>6</v>
      </c>
      <c r="C28" s="23" t="str">
        <f>'Intermediate COL'!C28</f>
        <v>0.85 (0.83, 0.86)</v>
      </c>
      <c r="D28" s="65" t="str">
        <f>'Intermediate COL'!G28</f>
        <v>1.00 (0.94, 1.06)</v>
      </c>
      <c r="E28" s="116" t="str">
        <f>'Intermediate COL'!K28</f>
        <v>1.00 (0.96, 1.03)</v>
      </c>
      <c r="F28" s="20"/>
      <c r="G28" s="55">
        <v>2200</v>
      </c>
      <c r="H28" s="50">
        <f>'Intermediate COL'!D27+'Intermediate COL'!D28*COL!$G28</f>
        <v>2061.2305738095511</v>
      </c>
      <c r="I28" s="46">
        <f>'Intermediate COL'!E27+'Intermediate COL'!E28*COL!$G28</f>
        <v>2002.9913508514067</v>
      </c>
      <c r="J28" s="46">
        <f>'Intermediate COL'!F27+'Intermediate COL'!F28*COL!$G28</f>
        <v>2122.6058618855714</v>
      </c>
      <c r="K28" s="20"/>
      <c r="L28" s="46">
        <f>'Intermediate COL'!H27+'Intermediate COL'!H28*COL!$G28</f>
        <v>2150.5000000000005</v>
      </c>
      <c r="M28" s="46">
        <f>'Intermediate COL'!I27+'Intermediate COL'!I28*COL!$G28</f>
        <v>1913.2993994237131</v>
      </c>
      <c r="N28" s="46">
        <f>'Intermediate COL'!J27+'Intermediate COL'!J28*COL!$G28</f>
        <v>2390.218139459239</v>
      </c>
      <c r="O28" s="58"/>
      <c r="P28" s="46">
        <f>'Intermediate COL'!L27+'Intermediate COL'!L28*COL!$G28</f>
        <v>2281.0000000000005</v>
      </c>
      <c r="Q28" s="46">
        <f>'Intermediate COL'!M27+'Intermediate COL'!M28*COL!$G28</f>
        <v>2125.9203691220782</v>
      </c>
      <c r="R28" s="46">
        <f>'Intermediate COL'!N27+'Intermediate COL'!N28*COL!$G28</f>
        <v>2433.9762873549889</v>
      </c>
    </row>
    <row r="29" spans="1:23" x14ac:dyDescent="0.3">
      <c r="A29" s="5" t="s">
        <v>14</v>
      </c>
      <c r="B29" s="6" t="s">
        <v>5</v>
      </c>
      <c r="C29" s="24" t="str">
        <f>'Intermediate COL'!C29</f>
        <v>0.07 (-0.45, 0.43)</v>
      </c>
      <c r="D29" s="65" t="str">
        <f>'Intermediate COL'!G29</f>
        <v>*-0.82 (0.00, 0.00)</v>
      </c>
      <c r="E29" s="116" t="str">
        <f>'Intermediate COL'!K29</f>
        <v>4.00 (2.90, 4.00)</v>
      </c>
      <c r="F29" s="21"/>
      <c r="G29" s="55"/>
      <c r="H29" s="52"/>
      <c r="I29" s="21"/>
      <c r="J29" s="21"/>
      <c r="K29" s="21"/>
      <c r="L29" s="21"/>
      <c r="M29" s="21"/>
      <c r="N29" s="21"/>
    </row>
    <row r="30" spans="1:23" x14ac:dyDescent="0.3">
      <c r="A30" s="5"/>
      <c r="B30" s="6" t="s">
        <v>6</v>
      </c>
      <c r="C30" s="24" t="str">
        <f>'Intermediate COL'!C30</f>
        <v>1.03 (0.96, 1.11)</v>
      </c>
      <c r="D30" s="65" t="str">
        <f>'Intermediate COL'!G30</f>
        <v>*1.07 (0.99, 1.17)</v>
      </c>
      <c r="E30" s="116" t="str">
        <f>'Intermediate COL'!K30</f>
        <v>1.00 (1.00, 1.20)</v>
      </c>
      <c r="F30" s="21"/>
      <c r="G30" s="55"/>
      <c r="H30" s="52"/>
      <c r="I30" s="21"/>
      <c r="J30" s="21"/>
      <c r="K30" s="21"/>
      <c r="L30" s="21"/>
      <c r="M30" s="21"/>
      <c r="N30" s="21"/>
    </row>
    <row r="31" spans="1:23" x14ac:dyDescent="0.3">
      <c r="A31" s="5" t="s">
        <v>15</v>
      </c>
      <c r="B31" s="6" t="s">
        <v>5</v>
      </c>
      <c r="C31" s="24" t="str">
        <f>'Intermediate COL'!C31</f>
        <v>-54.14 (-111.57, 8.78)</v>
      </c>
      <c r="D31" s="65" t="str">
        <f>'Intermediate COL'!G31</f>
        <v>-54.49 (-83.13, -23.11)</v>
      </c>
      <c r="E31" s="116" t="str">
        <f>'Intermediate COL'!K31</f>
        <v>153.67 (114.19, 204.51)</v>
      </c>
      <c r="F31" s="21"/>
      <c r="G31" s="55">
        <v>2800</v>
      </c>
      <c r="H31" s="54">
        <f>'Intermediate COL'!D31+'Intermediate COL'!D32*COL!$G31</f>
        <v>2778.7984736993335</v>
      </c>
      <c r="I31" s="48">
        <f>'Intermediate COL'!E31+'Intermediate COL'!E32*COL!$G31</f>
        <v>2686.2383275555599</v>
      </c>
      <c r="J31" s="48">
        <f>'Intermediate COL'!F31+'Intermediate COL'!F32*COL!$G31</f>
        <v>2875.5235626878552</v>
      </c>
      <c r="K31" s="48"/>
      <c r="L31" s="48">
        <f>'Intermediate COL'!H31+'Intermediate COL'!H32*COL!$G31</f>
        <v>2741.4274627831887</v>
      </c>
      <c r="M31" s="48">
        <f>'Intermediate COL'!I31+'Intermediate COL'!I32*COL!$G31</f>
        <v>2694.48810755878</v>
      </c>
      <c r="N31" s="48">
        <f>'Intermediate COL'!J31+'Intermediate COL'!J32*COL!$G31</f>
        <v>2789.814449069127</v>
      </c>
      <c r="O31" s="61"/>
      <c r="P31" s="48">
        <f>'Intermediate COL'!L31+'Intermediate COL'!L32*COL!$G31</f>
        <v>2870.4299158072804</v>
      </c>
      <c r="Q31" s="48">
        <f>'Intermediate COL'!M31+'Intermediate COL'!M32*COL!$G31</f>
        <v>2799.4898294467844</v>
      </c>
      <c r="R31" s="48">
        <f>'Intermediate COL'!N31+'Intermediate COL'!N32*COL!$G31</f>
        <v>2939.1571273847094</v>
      </c>
    </row>
    <row r="32" spans="1:23" x14ac:dyDescent="0.3">
      <c r="A32" s="5"/>
      <c r="B32" s="6" t="s">
        <v>6</v>
      </c>
      <c r="C32" s="24" t="str">
        <f>'Intermediate COL'!C32</f>
        <v>1.01 (1.00, 1.02)</v>
      </c>
      <c r="D32" s="65" t="str">
        <f>'Intermediate COL'!G32</f>
        <v>1.00 (0.99, 1.00)</v>
      </c>
      <c r="E32" s="116" t="str">
        <f>'Intermediate COL'!K32</f>
        <v>0.97 (0.96, 0.98)</v>
      </c>
      <c r="F32" s="21"/>
      <c r="G32" s="55">
        <v>8200</v>
      </c>
      <c r="H32" s="54">
        <f>'Intermediate COL'!D31+'Intermediate COL'!D32*COL!$G32</f>
        <v>8242.3257831629144</v>
      </c>
      <c r="I32" s="48">
        <f>'Intermediate COL'!E31+'Intermediate COL'!E32*COL!$G32</f>
        <v>8082.008184133424</v>
      </c>
      <c r="J32" s="48">
        <f>'Intermediate COL'!F31+'Intermediate COL'!F32*COL!$G32</f>
        <v>8404.2482570384436</v>
      </c>
      <c r="K32" s="48"/>
      <c r="L32" s="48">
        <f>'Intermediate COL'!H31+'Intermediate COL'!H32*COL!$G32</f>
        <v>8133.5515908558609</v>
      </c>
      <c r="M32" s="48">
        <f>'Intermediate COL'!I31+'Intermediate COL'!I32*COL!$G32</f>
        <v>8051.32043653859</v>
      </c>
      <c r="N32" s="48">
        <f>'Intermediate COL'!J31+'Intermediate COL'!J32*COL!$G32</f>
        <v>8214.733205923867</v>
      </c>
      <c r="O32" s="61"/>
      <c r="P32" s="48">
        <f>'Intermediate COL'!L31+'Intermediate COL'!L32*COL!$G32</f>
        <v>8109.8960729554374</v>
      </c>
      <c r="Q32" s="48">
        <f>'Intermediate COL'!M31+'Intermediate COL'!M32*COL!$G32</f>
        <v>7978.2879828831265</v>
      </c>
      <c r="R32" s="48">
        <f>'Intermediate COL'!N31+'Intermediate COL'!N32*COL!$G32</f>
        <v>8213.1212354505788</v>
      </c>
    </row>
    <row r="33" spans="1:22" x14ac:dyDescent="0.3">
      <c r="A33" s="5" t="s">
        <v>16</v>
      </c>
      <c r="B33" s="6" t="s">
        <v>5</v>
      </c>
      <c r="C33" s="24" t="str">
        <f>'Intermediate COL'!C33</f>
        <v>-1.49 (-2.35, -0.50)</v>
      </c>
      <c r="D33" s="65" t="str">
        <f>'Intermediate COL'!G33</f>
        <v>*-1.60 (0.00, 0.00)</v>
      </c>
      <c r="E33" s="116" t="str">
        <f>'Intermediate COL'!K33</f>
        <v>*1.63 (0.00, 0.00)</v>
      </c>
      <c r="F33" s="21"/>
      <c r="G33" s="55"/>
      <c r="H33" s="52"/>
      <c r="I33" s="21"/>
      <c r="J33" s="21"/>
      <c r="K33" s="21"/>
      <c r="L33" s="21"/>
      <c r="M33" s="21"/>
      <c r="N33" s="21"/>
    </row>
    <row r="34" spans="1:22" x14ac:dyDescent="0.3">
      <c r="A34" s="5"/>
      <c r="B34" s="6" t="s">
        <v>6</v>
      </c>
      <c r="C34" s="24" t="str">
        <f>'Intermediate COL'!C34</f>
        <v>1.04 (0.98, 1.08)</v>
      </c>
      <c r="D34" s="65" t="str">
        <f>'Intermediate COL'!G34</f>
        <v>*1.05 (0.97, 1.15)</v>
      </c>
      <c r="E34" s="116" t="str">
        <f>'Intermediate COL'!K34</f>
        <v>*0.86 (0.79, 0.93)</v>
      </c>
      <c r="F34" s="21"/>
      <c r="G34" s="55"/>
      <c r="H34" s="52"/>
      <c r="I34" s="21"/>
      <c r="J34" s="21"/>
      <c r="K34" s="21"/>
      <c r="L34" s="21"/>
      <c r="M34" s="21"/>
      <c r="N34" s="21"/>
    </row>
    <row r="35" spans="1:22" x14ac:dyDescent="0.3">
      <c r="A35" s="5" t="s">
        <v>17</v>
      </c>
      <c r="B35" s="6" t="s">
        <v>5</v>
      </c>
      <c r="C35" s="24" t="str">
        <f>'Intermediate COL'!C35</f>
        <v>1.44 (1.27, 1.67)</v>
      </c>
      <c r="D35" s="65" t="str">
        <f>'Intermediate COL'!G35</f>
        <v>2.01 (1.43, 2.98)</v>
      </c>
      <c r="E35" s="116" t="str">
        <f>'Intermediate COL'!K35</f>
        <v>16.14 (14.89, 18.09)</v>
      </c>
      <c r="F35" s="21"/>
      <c r="G35" s="55">
        <v>2</v>
      </c>
      <c r="H35" s="53">
        <f>'Intermediate COL'!D35+'Intermediate COL'!D36*COL!$G35</f>
        <v>3.6746752902662001</v>
      </c>
      <c r="I35" s="48">
        <f>'Intermediate COL'!E35+'Intermediate COL'!E36*COL!$G35</f>
        <v>3.4447280164412999</v>
      </c>
      <c r="J35" s="48">
        <f>'Intermediate COL'!F35+'Intermediate COL'!F36*COL!$G35</f>
        <v>3.9625261419992901</v>
      </c>
      <c r="K35" s="48"/>
      <c r="L35" s="48">
        <f>'Intermediate COL'!H35+'Intermediate COL'!H36*COL!$G35</f>
        <v>4.7390167484876802</v>
      </c>
      <c r="M35" s="48">
        <f>'Intermediate COL'!I35+'Intermediate COL'!I36*COL!$G35</f>
        <v>3.8911028889192698</v>
      </c>
      <c r="N35" s="48">
        <f>'Intermediate COL'!J35+'Intermediate COL'!J36*COL!$G35</f>
        <v>5.9230784690017702</v>
      </c>
      <c r="O35" s="48"/>
      <c r="P35" s="48">
        <f>'Intermediate COL'!L35+'Intermediate COL'!L36*COL!$G35</f>
        <v>18.10641153315596</v>
      </c>
      <c r="Q35" s="48">
        <f>'Intermediate COL'!M35+'Intermediate COL'!M36*COL!$G35</f>
        <v>16.482582666005055</v>
      </c>
      <c r="R35" s="48">
        <f>'Intermediate COL'!N35+'Intermediate COL'!N36*COL!$G35</f>
        <v>20.45438883404962</v>
      </c>
    </row>
    <row r="36" spans="1:22" x14ac:dyDescent="0.3">
      <c r="A36" s="5"/>
      <c r="B36" s="6" t="s">
        <v>6</v>
      </c>
      <c r="C36" s="24" t="str">
        <f>'Intermediate COL'!C36</f>
        <v>1.12 (1.09, 1.15)</v>
      </c>
      <c r="D36" s="65" t="str">
        <f>'Intermediate COL'!G36</f>
        <v>1.36 (1.23, 1.47)</v>
      </c>
      <c r="E36" s="116" t="str">
        <f>'Intermediate COL'!K36</f>
        <v>0.98 (0.80, 1.18)</v>
      </c>
      <c r="F36" s="21"/>
      <c r="G36" s="55">
        <v>30</v>
      </c>
      <c r="H36" s="53">
        <f>'Intermediate COL'!D35+'Intermediate COL'!D36*COL!$G36</f>
        <v>35.018213000509562</v>
      </c>
      <c r="I36" s="48">
        <f>'Intermediate COL'!E35+'Intermediate COL'!E36*COL!$G36</f>
        <v>33.916658710569301</v>
      </c>
      <c r="J36" s="48">
        <f>'Intermediate COL'!F35+'Intermediate COL'!F36*COL!$G36</f>
        <v>36.083495910434806</v>
      </c>
      <c r="K36" s="48"/>
      <c r="L36" s="48">
        <f>'Intermediate COL'!H35+'Intermediate COL'!H36*COL!$G36</f>
        <v>42.885460101985039</v>
      </c>
      <c r="M36" s="48">
        <f>'Intermediate COL'!I35+'Intermediate COL'!I36*COL!$G36</f>
        <v>38.322839800847433</v>
      </c>
      <c r="N36" s="48">
        <f>'Intermediate COL'!J35+'Intermediate COL'!J36*COL!$G36</f>
        <v>47.118049649573649</v>
      </c>
      <c r="O36" s="48"/>
      <c r="P36" s="48">
        <f>'Intermediate COL'!L35+'Intermediate COL'!L36*COL!$G36</f>
        <v>45.605651377127799</v>
      </c>
      <c r="Q36" s="48">
        <f>'Intermediate COL'!M35+'Intermediate COL'!M36*COL!$G36</f>
        <v>38.776727996726009</v>
      </c>
      <c r="R36" s="48">
        <f>'Intermediate COL'!N35+'Intermediate COL'!N36*COL!$G36</f>
        <v>53.599790998009297</v>
      </c>
    </row>
    <row r="37" spans="1:22" x14ac:dyDescent="0.3">
      <c r="A37" s="5" t="s">
        <v>19</v>
      </c>
      <c r="B37" s="6" t="s">
        <v>5</v>
      </c>
      <c r="C37" s="24" t="str">
        <f>'Intermediate COL'!C37</f>
        <v>0.41 (0.34, 0.53)</v>
      </c>
      <c r="D37" s="65" t="str">
        <f>'Intermediate COL'!G37</f>
        <v>0.20 (-0.02, 0.41)</v>
      </c>
      <c r="E37" s="116" t="str">
        <f>'Intermediate COL'!K37</f>
        <v>2.60 (2.14, 3.20)</v>
      </c>
      <c r="F37" s="21"/>
      <c r="G37" s="55">
        <v>0.5</v>
      </c>
      <c r="H37" s="53">
        <f>'Intermediate COL'!D37+'Intermediate COL'!D38*COL!$G37</f>
        <v>1.0937662737476841</v>
      </c>
      <c r="I37" s="48">
        <f>'Intermediate COL'!E37+'Intermediate COL'!E38*COL!$G37</f>
        <v>0.9901181209669101</v>
      </c>
      <c r="J37" s="48">
        <f>'Intermediate COL'!F37+'Intermediate COL'!F38*COL!$G37</f>
        <v>1.236830323214867</v>
      </c>
      <c r="K37" s="21"/>
      <c r="L37" s="48">
        <f>'Intermediate COL'!H37+'Intermediate COL'!H38*COL!$G37</f>
        <v>0.88846153846153697</v>
      </c>
      <c r="M37" s="48">
        <f>'Intermediate COL'!I37+'Intermediate COL'!I38*COL!$G37</f>
        <v>0.60622568525321463</v>
      </c>
      <c r="N37" s="48">
        <f>'Intermediate COL'!J37+'Intermediate COL'!J38*COL!$G37</f>
        <v>1.1463935966634</v>
      </c>
      <c r="O37" s="58"/>
      <c r="P37" s="48">
        <f>'Intermediate COL'!L37+'Intermediate COL'!L38*COL!$G37</f>
        <v>3.205263157894735</v>
      </c>
      <c r="Q37" s="48">
        <f>'Intermediate COL'!M37+'Intermediate COL'!M38*COL!$G37</f>
        <v>2.6447050999671502</v>
      </c>
      <c r="R37" s="48">
        <f>'Intermediate COL'!N37+'Intermediate COL'!N38*COL!$G37</f>
        <v>3.89613982813013</v>
      </c>
    </row>
    <row r="38" spans="1:22" x14ac:dyDescent="0.3">
      <c r="A38" s="5"/>
      <c r="B38" s="6" t="s">
        <v>6</v>
      </c>
      <c r="C38" s="24" t="str">
        <f>'Intermediate COL'!C38</f>
        <v>1.37 (1.31, 1.41)</v>
      </c>
      <c r="D38" s="65" t="str">
        <f>'Intermediate COL'!G38</f>
        <v>1.38 (1.24, 1.47)</v>
      </c>
      <c r="E38" s="116" t="str">
        <f>'Intermediate COL'!K38</f>
        <v>1.21 (1.00, 1.39)</v>
      </c>
      <c r="F38" s="21"/>
      <c r="G38" s="55">
        <v>8</v>
      </c>
      <c r="H38" s="53">
        <f>'Intermediate COL'!D37+'Intermediate COL'!D38*COL!$G38</f>
        <v>11.352853693943009</v>
      </c>
      <c r="I38" s="48">
        <f>'Intermediate COL'!E37+'Intermediate COL'!E38*COL!$G38</f>
        <v>10.812859516539261</v>
      </c>
      <c r="J38" s="48">
        <f>'Intermediate COL'!F37+'Intermediate COL'!F38*COL!$G38</f>
        <v>11.792883945922066</v>
      </c>
      <c r="K38" s="21"/>
      <c r="L38" s="48">
        <f>'Intermediate COL'!H37+'Intermediate COL'!H38*COL!$G38</f>
        <v>11.273076923076886</v>
      </c>
      <c r="M38" s="48">
        <f>'Intermediate COL'!I37+'Intermediate COL'!I38*COL!$G38</f>
        <v>9.9364530693145898</v>
      </c>
      <c r="N38" s="48">
        <f>'Intermediate COL'!J37+'Intermediate COL'!J38*COL!$G38</f>
        <v>12.199025175610799</v>
      </c>
      <c r="O38" s="58"/>
      <c r="P38" s="48">
        <f>'Intermediate COL'!L37+'Intermediate COL'!L38*COL!$G38</f>
        <v>12.284210526315759</v>
      </c>
      <c r="Q38" s="48">
        <f>'Intermediate COL'!M37+'Intermediate COL'!M38*COL!$G38</f>
        <v>10.144705099967151</v>
      </c>
      <c r="R38" s="48">
        <f>'Intermediate COL'!N37+'Intermediate COL'!N38*COL!$G38</f>
        <v>14.338237250082081</v>
      </c>
    </row>
    <row r="39" spans="1:22" x14ac:dyDescent="0.3">
      <c r="A39" s="5" t="s">
        <v>20</v>
      </c>
      <c r="B39" s="6" t="s">
        <v>5</v>
      </c>
      <c r="C39" s="24" t="str">
        <f>'Intermediate COL'!C39</f>
        <v>18.67 (17.17, 21.38)</v>
      </c>
      <c r="D39" s="65" t="str">
        <f>'Intermediate COL'!G39</f>
        <v>58.99 (53.76, 68.83)</v>
      </c>
      <c r="E39" s="116" t="str">
        <f>'Intermediate COL'!K39</f>
        <v>276.25 (251.40, 288.39)</v>
      </c>
      <c r="F39" s="21"/>
      <c r="G39" s="55">
        <v>25</v>
      </c>
      <c r="H39" s="53">
        <f>'Intermediate COL'!D39+'Intermediate COL'!D40*COL!$G39</f>
        <v>44.311879811191503</v>
      </c>
      <c r="I39" s="48">
        <f>'Intermediate COL'!E39+'Intermediate COL'!E40*COL!$G39</f>
        <v>42.351515769829248</v>
      </c>
      <c r="J39" s="48">
        <f>'Intermediate COL'!F39+'Intermediate COL'!F40*COL!$G39</f>
        <v>47.397156505767249</v>
      </c>
      <c r="K39" s="21"/>
      <c r="L39" s="48">
        <f>'Intermediate COL'!H39+'Intermediate COL'!H40*COL!$G39</f>
        <v>92.277524234245362</v>
      </c>
      <c r="M39" s="48">
        <f>'Intermediate COL'!I39+'Intermediate COL'!I40*COL!$G39</f>
        <v>85.119803549549346</v>
      </c>
      <c r="N39" s="48">
        <f>'Intermediate COL'!J39+'Intermediate COL'!J40*COL!$G39</f>
        <v>103.24625188253015</v>
      </c>
      <c r="O39" s="58"/>
      <c r="P39" s="48">
        <f>'Intermediate COL'!L39+'Intermediate COL'!L40*COL!$G39</f>
        <v>293.21885959607204</v>
      </c>
      <c r="Q39" s="48">
        <f>'Intermediate COL'!M39+'Intermediate COL'!M40*COL!$G39</f>
        <v>266.48878633209529</v>
      </c>
      <c r="R39" s="48">
        <f>'Intermediate COL'!N39+'Intermediate COL'!N40*COL!$G39</f>
        <v>309.98836175932007</v>
      </c>
    </row>
    <row r="40" spans="1:22" x14ac:dyDescent="0.3">
      <c r="A40" s="5"/>
      <c r="B40" s="6" t="s">
        <v>6</v>
      </c>
      <c r="C40" s="24" t="str">
        <f>'Intermediate COL'!C40</f>
        <v>1.03 (1.01, 1.04)</v>
      </c>
      <c r="D40" s="65" t="str">
        <f>'Intermediate COL'!G40</f>
        <v>1.33 (1.25, 1.38)</v>
      </c>
      <c r="E40" s="116" t="str">
        <f>'Intermediate COL'!K40</f>
        <v>0.68 (0.60, 0.86)</v>
      </c>
      <c r="F40" s="21"/>
      <c r="G40" s="55">
        <v>450</v>
      </c>
      <c r="H40" s="53">
        <f>'Intermediate COL'!D39+'Intermediate COL'!D40*COL!$G40</f>
        <v>480.29041771597997</v>
      </c>
      <c r="I40" s="48">
        <f>'Intermediate COL'!E39+'Intermediate COL'!E40*COL!$G40</f>
        <v>470.36856899452505</v>
      </c>
      <c r="J40" s="48">
        <f>'Intermediate COL'!F39+'Intermediate COL'!F40*COL!$G40</f>
        <v>489.7125250349045</v>
      </c>
      <c r="K40" s="21"/>
      <c r="L40" s="48">
        <f>'Intermediate COL'!H39+'Intermediate COL'!H40*COL!$G40</f>
        <v>658.23576085815012</v>
      </c>
      <c r="M40" s="48">
        <f>'Intermediate COL'!I39+'Intermediate COL'!I40*COL!$G40</f>
        <v>618.28517708836853</v>
      </c>
      <c r="N40" s="48">
        <f>'Intermediate COL'!J39+'Intermediate COL'!J40*COL!$G40</f>
        <v>688.31123576561447</v>
      </c>
      <c r="O40" s="58"/>
      <c r="P40" s="48">
        <f>'Intermediate COL'!L39+'Intermediate COL'!L40*COL!$G40</f>
        <v>581.70886078780688</v>
      </c>
      <c r="Q40" s="48">
        <f>'Intermediate COL'!M39+'Intermediate COL'!M40*COL!$G40</f>
        <v>523.06368240094241</v>
      </c>
      <c r="R40" s="48">
        <f>'Intermediate COL'!N39+'Intermediate COL'!N40*COL!$G40</f>
        <v>677.17781593439031</v>
      </c>
      <c r="V40" t="s">
        <v>61</v>
      </c>
    </row>
    <row r="41" spans="1:22" x14ac:dyDescent="0.3">
      <c r="A41" s="5" t="s">
        <v>21</v>
      </c>
      <c r="B41" s="6" t="s">
        <v>5</v>
      </c>
      <c r="C41" s="24" t="str">
        <f>'Intermediate COL'!C41</f>
        <v>-20.88 (-35.41, -14.53)</v>
      </c>
      <c r="D41" s="65" t="str">
        <f>'Intermediate COL'!G41</f>
        <v>-87.78 (-97.51, -74.09)</v>
      </c>
      <c r="E41" s="116" t="str">
        <f>'Intermediate COL'!K41</f>
        <v>-35.45 (-86.48, -5.05)</v>
      </c>
      <c r="F41" s="21"/>
      <c r="G41" s="55">
        <v>225</v>
      </c>
      <c r="H41" s="53">
        <f>'Intermediate COL'!D41+'Intermediate COL'!D42*COL!$G41</f>
        <v>242.60168904894638</v>
      </c>
      <c r="I41" s="48">
        <f>'Intermediate COL'!E41+'Intermediate COL'!E42*COL!$G41</f>
        <v>223.0049221159918</v>
      </c>
      <c r="J41" s="48">
        <f>'Intermediate COL'!F41+'Intermediate COL'!F42*COL!$G41</f>
        <v>260.62706851019277</v>
      </c>
      <c r="K41" s="21"/>
      <c r="L41" s="48">
        <f>'Intermediate COL'!H41+'Intermediate COL'!H42*COL!$G41</f>
        <v>214.85338753181048</v>
      </c>
      <c r="M41" s="48">
        <f>'Intermediate COL'!I41+'Intermediate COL'!I42*COL!$G41</f>
        <v>193.01630816149998</v>
      </c>
      <c r="N41" s="48">
        <f>'Intermediate COL'!J41+'Intermediate COL'!J42*COL!$G41</f>
        <v>236.51870686851126</v>
      </c>
      <c r="P41" s="48">
        <f>'Intermediate COL'!L41+'Intermediate COL'!L42*COL!$G41</f>
        <v>203.91818546956961</v>
      </c>
      <c r="Q41" s="48">
        <f>'Intermediate COL'!M41+'Intermediate COL'!M42*COL!$G41</f>
        <v>125.06626147042161</v>
      </c>
      <c r="R41" s="48">
        <f>'Intermediate COL'!N41+'Intermediate COL'!N42*COL!$G41</f>
        <v>275.79332116362178</v>
      </c>
    </row>
    <row r="42" spans="1:22" x14ac:dyDescent="0.3">
      <c r="A42" s="5"/>
      <c r="B42" s="6" t="s">
        <v>6</v>
      </c>
      <c r="C42" s="24" t="str">
        <f>'Intermediate COL'!C42</f>
        <v>1.17 (1.15, 1.22)</v>
      </c>
      <c r="D42" s="65" t="str">
        <f>'Intermediate COL'!G42</f>
        <v>1.35 (1.29, 1.38)</v>
      </c>
      <c r="E42" s="116" t="str">
        <f>'Intermediate COL'!K42</f>
        <v>1.06 (0.94, 1.25)</v>
      </c>
      <c r="F42" s="21"/>
      <c r="G42" s="55">
        <v>350</v>
      </c>
      <c r="H42" s="53">
        <f>'Intermediate COL'!D41+'Intermediate COL'!D42*COL!$G42</f>
        <v>388.98127029514762</v>
      </c>
      <c r="I42" s="48">
        <f>'Intermediate COL'!E41+'Intermediate COL'!E42*COL!$G42</f>
        <v>366.56765967162431</v>
      </c>
      <c r="J42" s="48">
        <f>'Intermediate COL'!F41+'Intermediate COL'!F42*COL!$G42</f>
        <v>413.48973060015277</v>
      </c>
      <c r="K42" s="21"/>
      <c r="L42" s="48">
        <f>'Intermediate COL'!H41+'Intermediate COL'!H42*COL!$G42</f>
        <v>382.98308598839674</v>
      </c>
      <c r="M42" s="48">
        <f>'Intermediate COL'!I41+'Intermediate COL'!I42*COL!$G42</f>
        <v>354.42217630728624</v>
      </c>
      <c r="N42" s="48">
        <f>'Intermediate COL'!J41+'Intermediate COL'!J42*COL!$G42</f>
        <v>409.08028695452253</v>
      </c>
      <c r="P42" s="48">
        <f>'Intermediate COL'!L41+'Intermediate COL'!L42*COL!$G42</f>
        <v>336.90268505248207</v>
      </c>
      <c r="Q42" s="48">
        <f>'Intermediate COL'!M41+'Intermediate COL'!M42*COL!$G42</f>
        <v>242.59353301196225</v>
      </c>
      <c r="R42" s="48">
        <f>'Intermediate COL'!N41+'Intermediate COL'!N42*COL!$G42</f>
        <v>431.81885384780179</v>
      </c>
    </row>
    <row r="43" spans="1:22" x14ac:dyDescent="0.3">
      <c r="A43" s="5" t="s">
        <v>23</v>
      </c>
      <c r="B43" s="6" t="s">
        <v>5</v>
      </c>
      <c r="C43" s="24" t="str">
        <f>'Intermediate COL'!C43</f>
        <v>-0.15 (-0.18, -0.13)</v>
      </c>
      <c r="D43" s="65" t="str">
        <f>'Intermediate COL'!G43</f>
        <v>-0.44 (-0.54, -0.31)</v>
      </c>
      <c r="E43" s="116" t="str">
        <f>'Intermediate COL'!K43</f>
        <v>-0.31 (-0.51, -0.14)</v>
      </c>
      <c r="F43" s="21"/>
      <c r="G43" s="55">
        <v>0.55000000000000004</v>
      </c>
      <c r="H43" s="74">
        <f>'Intermediate COL'!D43+'Intermediate COL'!D44*COL!$G43</f>
        <v>0.47230328474942507</v>
      </c>
      <c r="I43" s="75">
        <f>'Intermediate COL'!E43+'Intermediate COL'!E44*COL!$G43</f>
        <v>0.42988835822720906</v>
      </c>
      <c r="J43" s="75">
        <f>'Intermediate COL'!F43+'Intermediate COL'!F44*COL!$G43</f>
        <v>0.51096219988324254</v>
      </c>
      <c r="K43" s="76"/>
      <c r="L43" s="75">
        <f>'Intermediate COL'!H43+'Intermediate COL'!H44*COL!$G43</f>
        <v>0.33814062500000008</v>
      </c>
      <c r="M43" s="75">
        <f>'Intermediate COL'!I43+'Intermediate COL'!I44*COL!$G43</f>
        <v>0.15456097560975646</v>
      </c>
      <c r="N43" s="75">
        <f>'Intermediate COL'!J43+'Intermediate COL'!J44*COL!$G43</f>
        <v>0.52822938443670298</v>
      </c>
      <c r="O43" s="70"/>
      <c r="P43" s="75">
        <f>'Intermediate COL'!L43+'Intermediate COL'!L44*COL!$G43</f>
        <v>0.27759381588819354</v>
      </c>
      <c r="Q43" s="75">
        <f>'Intermediate COL'!M43+'Intermediate COL'!M44*COL!$G43</f>
        <v>-3.4643168499381649E-2</v>
      </c>
      <c r="R43" s="75">
        <f>'Intermediate COL'!N43+'Intermediate COL'!N44*COL!$G43</f>
        <v>0.57202748159900763</v>
      </c>
      <c r="V43" t="s">
        <v>62</v>
      </c>
    </row>
    <row r="44" spans="1:22" x14ac:dyDescent="0.3">
      <c r="A44" s="5"/>
      <c r="B44" s="6" t="s">
        <v>6</v>
      </c>
      <c r="C44" s="24" t="str">
        <f>'Intermediate COL'!C44</f>
        <v>1.13 (1.10, 1.16)</v>
      </c>
      <c r="D44" s="65" t="str">
        <f>'Intermediate COL'!G44</f>
        <v>1.41 (1.27, 1.52)</v>
      </c>
      <c r="E44" s="116" t="str">
        <f>'Intermediate COL'!K44</f>
        <v>1.07 (0.87, 1.29)</v>
      </c>
      <c r="F44" s="21"/>
      <c r="G44" s="55">
        <v>0.98</v>
      </c>
      <c r="H44" s="74">
        <f>'Intermediate COL'!D43+'Intermediate COL'!D44*COL!$G44</f>
        <v>0.95672770196117973</v>
      </c>
      <c r="I44" s="75">
        <f>'Intermediate COL'!E43+'Intermediate COL'!E44*COL!$G44</f>
        <v>0.90453812280185397</v>
      </c>
      <c r="J44" s="75">
        <f>'Intermediate COL'!F43+'Intermediate COL'!F44*COL!$G44</f>
        <v>1.0095254533379394</v>
      </c>
      <c r="K44" s="76"/>
      <c r="L44" s="75">
        <f>'Intermediate COL'!H43+'Intermediate COL'!H44*COL!$G44</f>
        <v>0.94282812500000002</v>
      </c>
      <c r="M44" s="75">
        <f>'Intermediate COL'!I43+'Intermediate COL'!I44*COL!$G44</f>
        <v>0.6999268292682933</v>
      </c>
      <c r="N44" s="75">
        <f>'Intermediate COL'!J43+'Intermediate COL'!J44*COL!$G44</f>
        <v>1.1834674796747966</v>
      </c>
      <c r="O44" s="70"/>
      <c r="P44" s="75">
        <f>'Intermediate COL'!L43+'Intermediate COL'!L44*COL!$G44</f>
        <v>0.73728307597101816</v>
      </c>
      <c r="Q44" s="75">
        <f>'Intermediate COL'!M43+'Intermediate COL'!M44*COL!$G44</f>
        <v>0.33780844052290837</v>
      </c>
      <c r="R44" s="75">
        <f>'Intermediate COL'!N43+'Intermediate COL'!N44*COL!$G44</f>
        <v>1.1262024508487221</v>
      </c>
    </row>
    <row r="45" spans="1:22" x14ac:dyDescent="0.3">
      <c r="A45" s="5" t="s">
        <v>22</v>
      </c>
      <c r="B45" s="6" t="s">
        <v>5</v>
      </c>
      <c r="C45" s="24" t="str">
        <f>'Intermediate COL'!C45</f>
        <v>-0.15 (-0.19, -0.12)</v>
      </c>
      <c r="D45" s="65" t="str">
        <f>'Intermediate COL'!G45</f>
        <v>-0.31 (-0.39, -0.21)</v>
      </c>
      <c r="E45" s="116" t="str">
        <f>'Intermediate COL'!K45</f>
        <v>-0.25 (-0.38, -0.09)</v>
      </c>
      <c r="F45" s="21"/>
      <c r="G45" s="75">
        <v>0.7</v>
      </c>
      <c r="H45" s="74">
        <f>'Intermediate COL'!D45+'Intermediate COL'!D46*COL!$G45</f>
        <v>0.64522294393341706</v>
      </c>
      <c r="I45" s="75">
        <f>'Intermediate COL'!E45+'Intermediate COL'!E46*COL!$G45</f>
        <v>0.58089002146776503</v>
      </c>
      <c r="J45" s="75">
        <f>'Intermediate COL'!F45+'Intermediate COL'!F46*COL!$G45</f>
        <v>0.70401576111155495</v>
      </c>
      <c r="K45" s="76"/>
      <c r="L45" s="75">
        <f>'Intermediate COL'!H45+'Intermediate COL'!H46*COL!$G45</f>
        <v>0.60085064827674195</v>
      </c>
      <c r="M45" s="75">
        <f>'Intermediate COL'!I45+'Intermediate COL'!I46*COL!$G45</f>
        <v>0.4408841614099569</v>
      </c>
      <c r="N45" s="75">
        <f>'Intermediate COL'!J45+'Intermediate COL'!J46*COL!$G45</f>
        <v>0.76747825969458605</v>
      </c>
      <c r="O45" s="70"/>
      <c r="P45" s="75">
        <f>'Intermediate COL'!L45+'Intermediate COL'!L46*COL!$G45</f>
        <v>0.55855076943485593</v>
      </c>
      <c r="Q45" s="75">
        <f>'Intermediate COL'!M45+'Intermediate COL'!M46*COL!$G45</f>
        <v>0.30773711624840105</v>
      </c>
      <c r="R45" s="75">
        <f>'Intermediate COL'!N45+'Intermediate COL'!N46*COL!$G45</f>
        <v>0.81524085126874857</v>
      </c>
    </row>
    <row r="46" spans="1:22" ht="15" thickBot="1" x14ac:dyDescent="0.35">
      <c r="A46" s="9"/>
      <c r="B46" s="10" t="s">
        <v>6</v>
      </c>
      <c r="C46" s="26" t="str">
        <f>'Intermediate COL'!C46</f>
        <v>1.14 (1.11, 1.18)</v>
      </c>
      <c r="D46" s="67" t="str">
        <f>'Intermediate COL'!G46</f>
        <v>1.31 (1.19, 1.39)</v>
      </c>
      <c r="E46" s="117" t="str">
        <f>'Intermediate COL'!K46</f>
        <v>1.16 (0.98, 1.30)</v>
      </c>
      <c r="F46" s="21"/>
      <c r="G46" s="55">
        <v>0.99</v>
      </c>
      <c r="H46" s="74">
        <f>'Intermediate COL'!D45+'Intermediate COL'!D46*COL!$G46</f>
        <v>0.97518235696071931</v>
      </c>
      <c r="I46" s="75">
        <f>'Intermediate COL'!E45+'Intermediate COL'!E46*COL!$G46</f>
        <v>0.90219360157696316</v>
      </c>
      <c r="J46" s="75">
        <f>'Intermediate COL'!F45+'Intermediate COL'!F46*COL!$G46</f>
        <v>1.0471566576392339</v>
      </c>
      <c r="K46" s="76"/>
      <c r="L46" s="75">
        <f>'Intermediate COL'!H45+'Intermediate COL'!H46*COL!$G46</f>
        <v>0.97959607623263623</v>
      </c>
      <c r="M46" s="75">
        <f>'Intermediate COL'!I45+'Intermediate COL'!I46*COL!$G46</f>
        <v>0.7857490262748219</v>
      </c>
      <c r="N46" s="75">
        <f>'Intermediate COL'!J45+'Intermediate COL'!J46*COL!$G46</f>
        <v>1.1705076699850452</v>
      </c>
      <c r="O46" s="70"/>
      <c r="P46" s="75">
        <f>'Intermediate COL'!L45+'Intermediate COL'!L46*COL!$G46</f>
        <v>0.89445747458161895</v>
      </c>
      <c r="Q46" s="75">
        <f>'Intermediate COL'!M45+'Intermediate COL'!M46*COL!$G46</f>
        <v>0.59136037585628998</v>
      </c>
      <c r="R46" s="75">
        <f>'Intermediate COL'!N45+'Intermediate COL'!N46*COL!$G46</f>
        <v>1.1908844080829462</v>
      </c>
    </row>
    <row r="47" spans="1:22" ht="47.4" customHeight="1" thickBot="1" x14ac:dyDescent="0.35">
      <c r="A47" t="s">
        <v>2</v>
      </c>
      <c r="B47" s="1" t="s">
        <v>25</v>
      </c>
      <c r="C47" s="1" t="s">
        <v>43</v>
      </c>
      <c r="D47" s="1" t="s">
        <v>38</v>
      </c>
      <c r="E47" s="1" t="s">
        <v>39</v>
      </c>
      <c r="F47" s="1" t="s">
        <v>186</v>
      </c>
      <c r="G47" s="1" t="s">
        <v>188</v>
      </c>
      <c r="H47" s="33" t="s">
        <v>91</v>
      </c>
      <c r="I47" s="33" t="s">
        <v>92</v>
      </c>
      <c r="J47" s="33" t="s">
        <v>93</v>
      </c>
      <c r="K47" s="1" t="s">
        <v>38</v>
      </c>
      <c r="L47" s="1"/>
      <c r="M47" s="1"/>
      <c r="N47" s="1"/>
      <c r="O47" s="1" t="s">
        <v>39</v>
      </c>
    </row>
    <row r="48" spans="1:22" x14ac:dyDescent="0.3">
      <c r="A48" s="3" t="s">
        <v>0</v>
      </c>
      <c r="B48" s="4" t="s">
        <v>5</v>
      </c>
      <c r="C48" s="119" t="str">
        <f>'Intermediate COL'!C48</f>
        <v>-76.23 (-98.79, -44.40)</v>
      </c>
      <c r="D48" s="66" t="str">
        <f>'Intermediate COL'!G48</f>
        <v>-8.62 (-32.94, 16.19)</v>
      </c>
      <c r="E48" s="118" t="str">
        <f>'Intermediate COL'!K48</f>
        <v>-22.03 (-33.98, -9.83)</v>
      </c>
      <c r="G48" s="32">
        <v>1500</v>
      </c>
      <c r="H48" s="71">
        <f>'Intermediate COL'!D48+'Intermediate COL'!D49*COL!$G48</f>
        <v>1537.5066921571006</v>
      </c>
      <c r="I48" s="49">
        <f>'Intermediate COL'!E48+'Intermediate COL'!E49*COL!$G48</f>
        <v>1498.3837267406914</v>
      </c>
      <c r="J48" s="49">
        <f>'Intermediate COL'!F48+'Intermediate COL'!F49*COL!$G48</f>
        <v>1580.5672828829863</v>
      </c>
      <c r="L48" s="49">
        <f>'Intermediate COL'!H48+'Intermediate COL'!H49*COL!$G48</f>
        <v>1532.3016366803856</v>
      </c>
      <c r="M48" s="49">
        <f>'Intermediate COL'!I48+'Intermediate COL'!I49*COL!$G48</f>
        <v>1492.6344706499431</v>
      </c>
      <c r="N48" s="49">
        <f>'Intermediate COL'!J48+'Intermediate COL'!J49*COL!$G48</f>
        <v>1572.0042637354481</v>
      </c>
      <c r="P48" s="49">
        <f>'Intermediate COL'!L48+'Intermediate COL'!L49*COL!$G48</f>
        <v>1530.7713484535732</v>
      </c>
      <c r="Q48" s="49">
        <f>'Intermediate COL'!M48+'Intermediate COL'!M49*COL!$G48</f>
        <v>1512.4860600847021</v>
      </c>
      <c r="R48" s="49">
        <f>'Intermediate COL'!N48+'Intermediate COL'!N49*COL!$G48</f>
        <v>1550.4471671637652</v>
      </c>
    </row>
    <row r="49" spans="1:21" x14ac:dyDescent="0.3">
      <c r="A49" s="5"/>
      <c r="B49" s="6" t="s">
        <v>6</v>
      </c>
      <c r="C49" s="23" t="str">
        <f>'Intermediate COL'!C49</f>
        <v>1.08 (1.06, 1.08)</v>
      </c>
      <c r="D49" s="65" t="str">
        <f>'Intermediate COL'!G49</f>
        <v>1.03 (1.02, 1.04)</v>
      </c>
      <c r="E49" s="116" t="str">
        <f>'Intermediate COL'!K49</f>
        <v>1.04 (1.03, 1.04)</v>
      </c>
      <c r="G49" s="32">
        <v>6000</v>
      </c>
      <c r="H49" s="71">
        <f>'Intermediate COL'!D48+'Intermediate COL'!D49*COL!$G49</f>
        <v>6378.7253225085851</v>
      </c>
      <c r="I49" s="49">
        <f>'Intermediate COL'!E48+'Intermediate COL'!E49*COL!$G49</f>
        <v>6289.9109094669366</v>
      </c>
      <c r="J49" s="49">
        <f>'Intermediate COL'!F48+'Intermediate COL'!F49*COL!$G49</f>
        <v>6455.4556032999317</v>
      </c>
      <c r="L49" s="49">
        <f>'Intermediate COL'!H48+'Intermediate COL'!H49*COL!$G49</f>
        <v>6155.0810135336405</v>
      </c>
      <c r="M49" s="49">
        <f>'Intermediate COL'!I48+'Intermediate COL'!I49*COL!$G49</f>
        <v>6069.3497311226884</v>
      </c>
      <c r="N49" s="49">
        <f>'Intermediate COL'!J48+'Intermediate COL'!J49*COL!$G49</f>
        <v>6239.4533534275188</v>
      </c>
      <c r="P49" s="49">
        <f>'Intermediate COL'!L48+'Intermediate COL'!L49*COL!$G49</f>
        <v>6189.1751660800537</v>
      </c>
      <c r="Q49" s="49">
        <f>'Intermediate COL'!M48+'Intermediate COL'!M49*COL!$G49</f>
        <v>6151.8808880616425</v>
      </c>
      <c r="R49" s="49">
        <f>'Intermediate COL'!N48+'Intermediate COL'!N49*COL!$G49</f>
        <v>6231.2868529666257</v>
      </c>
    </row>
    <row r="50" spans="1:21" x14ac:dyDescent="0.3">
      <c r="A50" s="5" t="s">
        <v>12</v>
      </c>
      <c r="B50" s="6" t="s">
        <v>5</v>
      </c>
      <c r="C50" s="55" t="str">
        <f>'Intermediate COL'!C50</f>
        <v>127.80 (17.90, 205.22)</v>
      </c>
      <c r="D50" s="65" t="str">
        <f>'Intermediate COL'!G50</f>
        <v>-188.12 (-393.10, -18.31)</v>
      </c>
      <c r="E50" s="116" t="str">
        <f>'Intermediate COL'!K50</f>
        <v>-81.00 (-169.80, -22.87)</v>
      </c>
      <c r="G50" s="32">
        <v>1300</v>
      </c>
      <c r="H50" s="71">
        <f>'Intermediate COL'!D50+'Intermediate COL'!D51*COL!$G50</f>
        <v>1228.8809315954195</v>
      </c>
      <c r="I50" s="49">
        <f>'Intermediate COL'!E50+'Intermediate COL'!E51*COL!$G50</f>
        <v>1065.1462867390453</v>
      </c>
      <c r="J50" s="49">
        <f>'Intermediate COL'!F50+'Intermediate COL'!F51*COL!$G50</f>
        <v>1381.7642746054682</v>
      </c>
      <c r="L50" s="49">
        <f>'Intermediate COL'!H50+'Intermediate COL'!H51*COL!$G50</f>
        <v>1148.7220188029721</v>
      </c>
      <c r="M50" s="49">
        <f>'Intermediate COL'!I50+'Intermediate COL'!I51*COL!$G50</f>
        <v>830.85206120432395</v>
      </c>
      <c r="N50" s="49">
        <f>'Intermediate COL'!J50+'Intermediate COL'!J51*COL!$G50</f>
        <v>1462.7857225043974</v>
      </c>
      <c r="P50" s="49">
        <f>'Intermediate COL'!L50+'Intermediate COL'!L51*COL!$G50</f>
        <v>1219.0000000000002</v>
      </c>
      <c r="Q50" s="49">
        <f>'Intermediate COL'!M50+'Intermediate COL'!M51*COL!$G50</f>
        <v>1089.1616945954474</v>
      </c>
      <c r="R50" s="49">
        <f>'Intermediate COL'!N50+'Intermediate COL'!N51*COL!$G50</f>
        <v>1337.5421287388651</v>
      </c>
    </row>
    <row r="51" spans="1:21" x14ac:dyDescent="0.3">
      <c r="A51" s="5"/>
      <c r="B51" s="6" t="s">
        <v>6</v>
      </c>
      <c r="C51" s="23" t="str">
        <f>'Intermediate COL'!C51</f>
        <v>0.85 (0.81, 0.91)</v>
      </c>
      <c r="D51" s="65" t="str">
        <f>'Intermediate COL'!G51</f>
        <v>1.03 (0.94, 1.14)</v>
      </c>
      <c r="E51" s="116" t="str">
        <f>'Intermediate COL'!K51</f>
        <v>1.00 (0.97, 1.05)</v>
      </c>
      <c r="G51" s="55">
        <v>2200</v>
      </c>
      <c r="H51" s="71">
        <f>'Intermediate COL'!D50+'Intermediate COL'!D51*COL!$G51</f>
        <v>1991.1685984201572</v>
      </c>
      <c r="I51" s="49">
        <f>'Intermediate COL'!E50+'Intermediate COL'!E51*COL!$G51</f>
        <v>1790.1660625783343</v>
      </c>
      <c r="J51" s="49">
        <f>'Intermediate COL'!F50+'Intermediate COL'!F51*COL!$G51</f>
        <v>2196.2962241416963</v>
      </c>
      <c r="L51" s="49">
        <f>'Intermediate COL'!H50+'Intermediate COL'!H51*COL!$G51</f>
        <v>2074.2257255667923</v>
      </c>
      <c r="M51" s="49">
        <f>'Intermediate COL'!I50+'Intermediate COL'!I51*COL!$G51</f>
        <v>1678.200178485477</v>
      </c>
      <c r="N51" s="49">
        <f>'Intermediate COL'!J50+'Intermediate COL'!J51*COL!$G51</f>
        <v>2488.1568080114976</v>
      </c>
      <c r="P51" s="49">
        <f>'Intermediate COL'!L50+'Intermediate COL'!L51*COL!$G51</f>
        <v>2119.0000000000005</v>
      </c>
      <c r="Q51" s="49">
        <f>'Intermediate COL'!M50+'Intermediate COL'!M51*COL!$G51</f>
        <v>1960.7479574065437</v>
      </c>
      <c r="R51" s="49">
        <f>'Intermediate COL'!N50+'Intermediate COL'!N51*COL!$G51</f>
        <v>2279.3649603367239</v>
      </c>
    </row>
    <row r="52" spans="1:21" x14ac:dyDescent="0.3">
      <c r="A52" s="5" t="s">
        <v>14</v>
      </c>
      <c r="B52" s="6" t="s">
        <v>5</v>
      </c>
      <c r="C52" s="24" t="str">
        <f>'Intermediate COL'!C52</f>
        <v>-3.64 (-5.24, -2.58)</v>
      </c>
      <c r="D52" s="65" t="str">
        <f>'Intermediate COL'!G52</f>
        <v>*-4.63 (0.00, 0.00)</v>
      </c>
      <c r="E52" s="116" t="str">
        <f>'Intermediate COL'!K52</f>
        <v>-3.55 (0.00, 0.00)</v>
      </c>
      <c r="G52" s="55"/>
      <c r="H52" s="18"/>
    </row>
    <row r="53" spans="1:21" x14ac:dyDescent="0.3">
      <c r="A53" s="5"/>
      <c r="B53" s="6" t="s">
        <v>6</v>
      </c>
      <c r="C53" s="24" t="str">
        <f>'Intermediate COL'!C53</f>
        <v>0.99 (0.87, 1.15)</v>
      </c>
      <c r="D53" s="65" t="str">
        <f>'Intermediate COL'!G53</f>
        <v>*1.01 (0.83, 1.23)</v>
      </c>
      <c r="E53" s="116" t="str">
        <f>'Intermediate COL'!K53</f>
        <v>0.94 (0.82, 1.09)</v>
      </c>
      <c r="G53" s="55"/>
      <c r="H53" s="18"/>
    </row>
    <row r="54" spans="1:21" x14ac:dyDescent="0.3">
      <c r="A54" s="5" t="s">
        <v>15</v>
      </c>
      <c r="B54" s="6" t="s">
        <v>5</v>
      </c>
      <c r="C54" s="55" t="str">
        <f>'Intermediate COL'!C54</f>
        <v>-226.23 (-360.24, -104.22)</v>
      </c>
      <c r="D54" s="65" t="str">
        <f>'Intermediate COL'!G54</f>
        <v>-213.11 (-275.70, -159.09)</v>
      </c>
      <c r="E54" s="116" t="str">
        <f>'Intermediate COL'!K54</f>
        <v>-158.38 (-213.24, -116.92)</v>
      </c>
      <c r="G54" s="55">
        <v>2800</v>
      </c>
      <c r="H54" s="71">
        <f>'Intermediate COL'!D54+'Intermediate COL'!D55*COL!$G54</f>
        <v>2703.887887752423</v>
      </c>
      <c r="I54" s="49">
        <f>'Intermediate COL'!E54+'Intermediate COL'!E55*COL!$G54</f>
        <v>2505.4383282418421</v>
      </c>
      <c r="J54" s="49">
        <f>'Intermediate COL'!F54+'Intermediate COL'!F55*COL!$G54</f>
        <v>2898.0113228778669</v>
      </c>
      <c r="L54" s="49">
        <f>'Intermediate COL'!H54+'Intermediate COL'!H55*COL!$G54</f>
        <v>2673.9621976441167</v>
      </c>
      <c r="M54" s="49">
        <f>'Intermediate COL'!I54+'Intermediate COL'!I55*COL!$G54</f>
        <v>2580.4454766531917</v>
      </c>
      <c r="N54" s="49">
        <f>'Intermediate COL'!J54+'Intermediate COL'!J55*COL!$G54</f>
        <v>2761.5197222730121</v>
      </c>
      <c r="P54" s="49">
        <f>'Intermediate COL'!L54+'Intermediate COL'!L55*COL!$G54</f>
        <v>2727.4121572785739</v>
      </c>
      <c r="Q54" s="49">
        <f>'Intermediate COL'!M54+'Intermediate COL'!M55*COL!$G54</f>
        <v>2653.6694475474255</v>
      </c>
      <c r="R54" s="49">
        <f>'Intermediate COL'!N54+'Intermediate COL'!N55*COL!$G54</f>
        <v>2802.680416114847</v>
      </c>
    </row>
    <row r="55" spans="1:21" x14ac:dyDescent="0.3">
      <c r="A55" s="5"/>
      <c r="B55" s="6" t="s">
        <v>6</v>
      </c>
      <c r="C55" s="34" t="str">
        <f>'Intermediate COL'!C55</f>
        <v>1.05 (1.02, 1.07)</v>
      </c>
      <c r="D55" s="65" t="str">
        <f>'Intermediate COL'!G55</f>
        <v>1.03 (1.02, 1.04)</v>
      </c>
      <c r="E55" s="116" t="str">
        <f>'Intermediate COL'!K55</f>
        <v>1.03 (1.02, 1.04)</v>
      </c>
      <c r="G55" s="55">
        <v>8200</v>
      </c>
      <c r="H55" s="71">
        <f>'Intermediate COL'!D54+'Intermediate COL'!D55*COL!$G55</f>
        <v>8354.8387848512793</v>
      </c>
      <c r="I55" s="49">
        <f>'Intermediate COL'!E54+'Intermediate COL'!E55*COL!$G55</f>
        <v>8032.1031140225914</v>
      </c>
      <c r="J55" s="49">
        <f>'Intermediate COL'!F54+'Intermediate COL'!F55*COL!$G55</f>
        <v>8688.0270480533709</v>
      </c>
      <c r="L55" s="49">
        <f>'Intermediate COL'!H54+'Intermediate COL'!H55*COL!$G55</f>
        <v>8241.8890130429972</v>
      </c>
      <c r="M55" s="49">
        <f>'Intermediate COL'!I54+'Intermediate COL'!I55*COL!$G55</f>
        <v>8088.7193801684189</v>
      </c>
      <c r="N55" s="49">
        <f>'Intermediate COL'!J54+'Intermediate COL'!J55*COL!$G55</f>
        <v>8394.1254835039381</v>
      </c>
      <c r="P55" s="49">
        <f>'Intermediate COL'!L54+'Intermediate COL'!L55*COL!$G55</f>
        <v>8292.8646528953832</v>
      </c>
      <c r="Q55" s="49">
        <f>'Intermediate COL'!M54+'Intermediate COL'!M55*COL!$G55</f>
        <v>8182.7173141044741</v>
      </c>
      <c r="R55" s="49">
        <f>'Intermediate COL'!N54+'Intermediate COL'!N55*COL!$G55</f>
        <v>8433.3304503609288</v>
      </c>
    </row>
    <row r="56" spans="1:21" x14ac:dyDescent="0.3">
      <c r="A56" s="5" t="s">
        <v>16</v>
      </c>
      <c r="B56" s="6" t="s">
        <v>5</v>
      </c>
      <c r="C56" s="55" t="str">
        <f>'Intermediate COL'!C56</f>
        <v>-3.40 (-5.39, -1.44)</v>
      </c>
      <c r="D56" s="65" t="str">
        <f>'Intermediate COL'!G56</f>
        <v>*-3.62 (0.00, 0.00)</v>
      </c>
      <c r="E56" s="120" t="str">
        <f>'Intermediate COL'!K56</f>
        <v>*-1.91 (0.00, 0.00)</v>
      </c>
      <c r="G56" s="55"/>
      <c r="H56" s="18"/>
    </row>
    <row r="57" spans="1:21" x14ac:dyDescent="0.3">
      <c r="A57" s="5"/>
      <c r="B57" s="6" t="s">
        <v>6</v>
      </c>
      <c r="C57" s="55" t="str">
        <f>'Intermediate COL'!C57</f>
        <v>1.21 (1.09, 1.33)</v>
      </c>
      <c r="D57" s="65" t="str">
        <f>'Intermediate COL'!G57</f>
        <v>*1.23 (1.11, 1.36)</v>
      </c>
      <c r="E57" s="120" t="str">
        <f>'Intermediate COL'!K57</f>
        <v>*1.17 (1.08, 1.26)</v>
      </c>
      <c r="G57" s="55"/>
      <c r="H57" s="18"/>
      <c r="S57" s="19" t="s">
        <v>63</v>
      </c>
    </row>
    <row r="58" spans="1:21" x14ac:dyDescent="0.3">
      <c r="A58" s="5" t="s">
        <v>17</v>
      </c>
      <c r="B58" s="6" t="s">
        <v>5</v>
      </c>
      <c r="C58" s="55" t="str">
        <f>'Intermediate COL'!C58</f>
        <v>-16.88 (-22.88, -13.21)</v>
      </c>
      <c r="D58" s="65" t="str">
        <f>'Intermediate COL'!G58</f>
        <v>-17.95 (-27.45, -13.54)</v>
      </c>
      <c r="E58" s="116" t="str">
        <f>'Intermediate COL'!K58</f>
        <v>-16.44 (-22.72, -12.58)</v>
      </c>
      <c r="G58" s="55">
        <v>2</v>
      </c>
      <c r="H58" s="71">
        <f>'Intermediate COL'!D58+'Intermediate COL'!D59*COL!$G58</f>
        <v>-14.609951377269558</v>
      </c>
      <c r="I58" s="49">
        <f>'Intermediate COL'!E58+'Intermediate COL'!E59*COL!$G58</f>
        <v>-20.942099480033669</v>
      </c>
      <c r="J58" s="49">
        <f>'Intermediate COL'!F58+'Intermediate COL'!F59*COL!$G58</f>
        <v>-10.47779173825182</v>
      </c>
      <c r="L58" s="49">
        <f>'Intermediate COL'!H58+'Intermediate COL'!H59*COL!$G58</f>
        <v>-15.421666366379341</v>
      </c>
      <c r="M58" s="49">
        <f>'Intermediate COL'!I58+'Intermediate COL'!I59*COL!$G58</f>
        <v>-25.288209204949879</v>
      </c>
      <c r="N58" s="49">
        <f>'Intermediate COL'!J58+'Intermediate COL'!J59*COL!$G58</f>
        <v>-10.249613989484441</v>
      </c>
      <c r="P58" s="49">
        <f>'Intermediate COL'!L58+'Intermediate COL'!L59*COL!$G58</f>
        <v>-14.399708700574401</v>
      </c>
      <c r="Q58" s="49">
        <f>'Intermediate COL'!M58+'Intermediate COL'!M59*COL!$G58</f>
        <v>-21.026397311492598</v>
      </c>
      <c r="R58" s="49">
        <f>'Intermediate COL'!N58+'Intermediate COL'!N59*COL!$G58</f>
        <v>-10.066768033737</v>
      </c>
      <c r="S58" t="s">
        <v>71</v>
      </c>
    </row>
    <row r="59" spans="1:21" x14ac:dyDescent="0.3">
      <c r="A59" s="5"/>
      <c r="B59" s="6" t="s">
        <v>6</v>
      </c>
      <c r="C59" s="55" t="str">
        <f>'Intermediate COL'!C59</f>
        <v>1.13 (0.97, 1.36)</v>
      </c>
      <c r="D59" s="65" t="str">
        <f>'Intermediate COL'!G59</f>
        <v>1.26 (1.08, 1.65)</v>
      </c>
      <c r="E59" s="116" t="str">
        <f>'Intermediate COL'!K59</f>
        <v>1.02 (0.84, 1.26)</v>
      </c>
      <c r="G59" s="55">
        <v>30</v>
      </c>
      <c r="H59" s="71">
        <f>'Intermediate COL'!D58+'Intermediate COL'!D59*COL!$G59</f>
        <v>17.1392742059992</v>
      </c>
      <c r="I59" s="49">
        <f>'Intermediate COL'!E58+'Intermediate COL'!E59*COL!$G59</f>
        <v>6.198989169489149</v>
      </c>
      <c r="J59" s="49">
        <f>'Intermediate COL'!F58+'Intermediate COL'!F59*COL!$G59</f>
        <v>27.722335211728698</v>
      </c>
      <c r="L59" s="49">
        <f>'Intermediate COL'!H58+'Intermediate COL'!H59*COL!$G59</f>
        <v>19.984038960585497</v>
      </c>
      <c r="M59" s="49">
        <f>'Intermediate COL'!I58+'Intermediate COL'!I59*COL!$G59</f>
        <v>4.9984186923747984</v>
      </c>
      <c r="N59" s="49">
        <f>'Intermediate COL'!J58+'Intermediate COL'!J59*COL!$G59</f>
        <v>35.838638874291199</v>
      </c>
      <c r="P59" s="49">
        <f>'Intermediate COL'!L58+'Intermediate COL'!L59*COL!$G59</f>
        <v>14.110170279657197</v>
      </c>
      <c r="Q59" s="49">
        <f>'Intermediate COL'!M58+'Intermediate COL'!M59*COL!$G59</f>
        <v>2.6269587745734313</v>
      </c>
      <c r="R59" s="49">
        <f>'Intermediate COL'!N58+'Intermediate COL'!N59*COL!$G59</f>
        <v>25.099415211675797</v>
      </c>
      <c r="T59" t="s">
        <v>64</v>
      </c>
    </row>
    <row r="60" spans="1:21" x14ac:dyDescent="0.3">
      <c r="A60" s="5" t="s">
        <v>19</v>
      </c>
      <c r="B60" s="6" t="s">
        <v>5</v>
      </c>
      <c r="C60" s="55" t="str">
        <f>'Intermediate COL'!C60</f>
        <v>-2.52 (-3.47, -1.96)</v>
      </c>
      <c r="D60" s="65" t="str">
        <f>'Intermediate COL'!G60</f>
        <v>-2.44 (-3.92, -1.31)</v>
      </c>
      <c r="E60" s="116" t="str">
        <f>'Intermediate COL'!K60</f>
        <v>-2.15 (-3.20, -1.54)</v>
      </c>
      <c r="G60" s="55">
        <v>0.5</v>
      </c>
      <c r="H60" s="71">
        <f>'Intermediate COL'!D60+'Intermediate COL'!D61*COL!$G60</f>
        <v>-1.9540399143009552</v>
      </c>
      <c r="I60" s="49">
        <f>'Intermediate COL'!E60+'Intermediate COL'!E61*COL!$G60</f>
        <v>-2.9645280679298152</v>
      </c>
      <c r="J60" s="49">
        <f>'Intermediate COL'!F60+'Intermediate COL'!F61*COL!$G60</f>
        <v>-1.3090383637996301</v>
      </c>
      <c r="L60" s="49">
        <f>'Intermediate COL'!H60+'Intermediate COL'!H61*COL!$G60</f>
        <v>-1.9093749999999998</v>
      </c>
      <c r="M60" s="49">
        <f>'Intermediate COL'!I60+'Intermediate COL'!I61*COL!$G60</f>
        <v>-3.4901960784313757</v>
      </c>
      <c r="N60" s="49">
        <f>'Intermediate COL'!J60+'Intermediate COL'!J61*COL!$G60</f>
        <v>-0.64362745098039498</v>
      </c>
      <c r="P60" s="49">
        <f>'Intermediate COL'!L60+'Intermediate COL'!L61*COL!$G60</f>
        <v>-1.7347826086956504</v>
      </c>
      <c r="Q60" s="49">
        <f>'Intermediate COL'!M60+'Intermediate COL'!M61*COL!$G60</f>
        <v>-2.8408767464555034</v>
      </c>
      <c r="R60" s="49">
        <f>'Intermediate COL'!N60+'Intermediate COL'!N61*COL!$G60</f>
        <v>-1.0404269467873599</v>
      </c>
      <c r="U60" t="s">
        <v>75</v>
      </c>
    </row>
    <row r="61" spans="1:21" x14ac:dyDescent="0.3">
      <c r="A61" s="5"/>
      <c r="B61" s="6" t="s">
        <v>6</v>
      </c>
      <c r="C61" s="55" t="str">
        <f>'Intermediate COL'!C61</f>
        <v>1.14 (1.02, 1.30)</v>
      </c>
      <c r="D61" s="65" t="str">
        <f>'Intermediate COL'!G61</f>
        <v>1.06 (0.85, 1.33)</v>
      </c>
      <c r="E61" s="116" t="str">
        <f>'Intermediate COL'!K61</f>
        <v>0.83 (0.72, 1.00)</v>
      </c>
      <c r="G61" s="55">
        <v>8</v>
      </c>
      <c r="H61" s="71">
        <f>'Intermediate COL'!D60+'Intermediate COL'!D61*COL!$G61</f>
        <v>6.5661935085933187</v>
      </c>
      <c r="I61" s="49">
        <f>'Intermediate COL'!E60+'Intermediate COL'!E61*COL!$G61</f>
        <v>4.6682561519410601</v>
      </c>
      <c r="J61" s="49">
        <f>'Intermediate COL'!F60+'Intermediate COL'!F61*COL!$G61</f>
        <v>8.4110757902082192</v>
      </c>
      <c r="L61" s="49">
        <f>'Intermediate COL'!H60+'Intermediate COL'!H61*COL!$G61</f>
        <v>6.0593750000000002</v>
      </c>
      <c r="M61" s="49">
        <f>'Intermediate COL'!I60+'Intermediate COL'!I61*COL!$G61</f>
        <v>2.9068627450980418</v>
      </c>
      <c r="N61" s="49">
        <f>'Intermediate COL'!J60+'Intermediate COL'!J61*COL!$G61</f>
        <v>9.3563725490195786</v>
      </c>
      <c r="P61" s="49">
        <f>'Intermediate COL'!L60+'Intermediate COL'!L61*COL!$G61</f>
        <v>4.4608695652173918</v>
      </c>
      <c r="Q61" s="49">
        <f>'Intermediate COL'!M60+'Intermediate COL'!M61*COL!$G61</f>
        <v>2.5459720567119515</v>
      </c>
      <c r="R61" s="49">
        <f>'Intermediate COL'!N60+'Intermediate COL'!N61*COL!$G61</f>
        <v>6.4595730532126403</v>
      </c>
      <c r="U61" t="s">
        <v>65</v>
      </c>
    </row>
    <row r="62" spans="1:21" x14ac:dyDescent="0.3">
      <c r="A62" s="5" t="s">
        <v>20</v>
      </c>
      <c r="B62" s="6" t="s">
        <v>5</v>
      </c>
      <c r="C62" s="55" t="str">
        <f>'Intermediate COL'!C62</f>
        <v>-385.41 (-426.59, -260.39)</v>
      </c>
      <c r="D62" s="65" t="str">
        <f>'Intermediate COL'!G62</f>
        <v>-416.31 (-532.85, -303.63)</v>
      </c>
      <c r="E62" s="116" t="str">
        <f>'Intermediate COL'!K62</f>
        <v>-406.97 (-477.70, -290.98)</v>
      </c>
      <c r="G62" s="55">
        <v>25</v>
      </c>
      <c r="H62" s="71">
        <f>'Intermediate COL'!D62+'Intermediate COL'!D63*COL!$G62</f>
        <v>-348.42186140953424</v>
      </c>
      <c r="I62" s="49">
        <f>'Intermediate COL'!E62+'Intermediate COL'!E63*COL!$G62</f>
        <v>-398.26121118258447</v>
      </c>
      <c r="J62" s="49">
        <f>'Intermediate COL'!F62+'Intermediate COL'!F63*COL!$G62</f>
        <v>-220.77158819737997</v>
      </c>
      <c r="L62" s="49">
        <f>'Intermediate COL'!H62+'Intermediate COL'!H63*COL!$G62</f>
        <v>-371.47911392405103</v>
      </c>
      <c r="M62" s="49">
        <f>'Intermediate COL'!I62+'Intermediate COL'!I63*COL!$G62</f>
        <v>-496.15114632158253</v>
      </c>
      <c r="N62" s="49">
        <f>'Intermediate COL'!J62+'Intermediate COL'!J63*COL!$G62</f>
        <v>-251.34897493376852</v>
      </c>
      <c r="P62" s="49">
        <f>'Intermediate COL'!L62+'Intermediate COL'!L63*COL!$G62</f>
        <v>-370.13679800836201</v>
      </c>
      <c r="Q62" s="49">
        <f>'Intermediate COL'!M62+'Intermediate COL'!M63*COL!$G62</f>
        <v>-448.76199427327828</v>
      </c>
      <c r="R62" s="49">
        <f>'Intermediate COL'!N62+'Intermediate COL'!N63*COL!$G62</f>
        <v>-249.56520729718378</v>
      </c>
    </row>
    <row r="63" spans="1:21" x14ac:dyDescent="0.3">
      <c r="A63" s="5"/>
      <c r="B63" s="6" t="s">
        <v>6</v>
      </c>
      <c r="C63" s="24" t="str">
        <f>'Intermediate COL'!C63</f>
        <v>1.48 (1.13, 1.58)</v>
      </c>
      <c r="D63" s="65" t="str">
        <f>'Intermediate COL'!G63</f>
        <v>1.79 (1.47, 2.09)</v>
      </c>
      <c r="E63" s="116" t="str">
        <f>'Intermediate COL'!K63</f>
        <v>1.47 (1.16, 1.66)</v>
      </c>
      <c r="G63" s="55">
        <v>450</v>
      </c>
      <c r="H63" s="71">
        <f>'Intermediate COL'!D62+'Intermediate COL'!D63*COL!$G63</f>
        <v>280.33939456072648</v>
      </c>
      <c r="I63" s="49">
        <f>'Intermediate COL'!E62+'Intermediate COL'!E63*COL!$G63</f>
        <v>83.342134164143033</v>
      </c>
      <c r="J63" s="49">
        <f>'Intermediate COL'!F62+'Intermediate COL'!F63*COL!$G63</f>
        <v>452.75380047865497</v>
      </c>
      <c r="L63" s="49">
        <f>'Intermediate COL'!H62+'Intermediate COL'!H63*COL!$G63</f>
        <v>390.65168776371297</v>
      </c>
      <c r="M63" s="49">
        <f>'Intermediate COL'!I62+'Intermediate COL'!I63*COL!$G63</f>
        <v>127.68813939270206</v>
      </c>
      <c r="N63" s="49">
        <f>'Intermediate COL'!J62+'Intermediate COL'!J63*COL!$G63</f>
        <v>637.4527369064599</v>
      </c>
      <c r="P63" s="49">
        <f>'Intermediate COL'!L62+'Intermediate COL'!L63*COL!$G63</f>
        <v>255.96809038932497</v>
      </c>
      <c r="Q63" s="49">
        <f>'Intermediate COL'!M62+'Intermediate COL'!M63*COL!$G63</f>
        <v>43.150281382329467</v>
      </c>
      <c r="R63" s="49">
        <f>'Intermediate COL'!N62+'Intermediate COL'!N63*COL!$G63</f>
        <v>454.42026738281851</v>
      </c>
      <c r="S63" t="s">
        <v>67</v>
      </c>
      <c r="T63" t="s">
        <v>69</v>
      </c>
    </row>
    <row r="64" spans="1:21" x14ac:dyDescent="0.3">
      <c r="A64" s="5" t="s">
        <v>21</v>
      </c>
      <c r="B64" s="6" t="s">
        <v>5</v>
      </c>
      <c r="C64" s="24" t="str">
        <f>'Intermediate COL'!C64</f>
        <v>8.23 (-23.00, 48.76)</v>
      </c>
      <c r="D64" s="65" t="str">
        <f>'Intermediate COL'!G64</f>
        <v>-36.87 (-85.89, 24.00)</v>
      </c>
      <c r="E64" s="116" t="str">
        <f>'Intermediate COL'!K64</f>
        <v>33.33 (5.37, 69.29)</v>
      </c>
      <c r="G64" s="55">
        <v>225</v>
      </c>
      <c r="H64" s="71">
        <f>'Intermediate COL'!D64+'Intermediate COL'!D65*COL!$G64</f>
        <v>266.70190551233867</v>
      </c>
      <c r="I64" s="49">
        <f>'Intermediate COL'!E64+'Intermediate COL'!E65*COL!$G64</f>
        <v>197.73067639828051</v>
      </c>
      <c r="J64" s="49">
        <f>'Intermediate COL'!F64+'Intermediate COL'!F65*COL!$G64</f>
        <v>336.26468594901951</v>
      </c>
      <c r="L64" s="49">
        <f>'Intermediate COL'!H64+'Intermediate COL'!H65*COL!$G64</f>
        <v>242.66752001049866</v>
      </c>
      <c r="M64" s="49">
        <f>'Intermediate COL'!I64+'Intermediate COL'!I65*COL!$G64</f>
        <v>139.11333863017256</v>
      </c>
      <c r="N64" s="49">
        <f>'Intermediate COL'!J64+'Intermediate COL'!J65*COL!$G64</f>
        <v>350.27041813242641</v>
      </c>
      <c r="P64" s="49">
        <f>'Intermediate COL'!L64+'Intermediate COL'!L65*COL!$G64</f>
        <v>244.81604491176597</v>
      </c>
      <c r="Q64" s="49">
        <f>'Intermediate COL'!M64+'Intermediate COL'!M65*COL!$G64</f>
        <v>185.63285754778326</v>
      </c>
      <c r="R64" s="49">
        <f>'Intermediate COL'!N64+'Intermediate COL'!N65*COL!$G64</f>
        <v>308.59195677633409</v>
      </c>
      <c r="T64" t="s">
        <v>68</v>
      </c>
    </row>
    <row r="65" spans="1:21" x14ac:dyDescent="0.3">
      <c r="A65" s="5"/>
      <c r="B65" s="6" t="s">
        <v>6</v>
      </c>
      <c r="C65" s="24" t="str">
        <f>'Intermediate COL'!C65</f>
        <v>1.15 (0.98, 1.28)</v>
      </c>
      <c r="D65" s="65" t="str">
        <f>'Intermediate COL'!G65</f>
        <v>1.24 (1.00, 1.45)</v>
      </c>
      <c r="E65" s="116" t="str">
        <f>'Intermediate COL'!K65</f>
        <v>0.94 (0.80, 1.06)</v>
      </c>
      <c r="G65" s="55">
        <v>350</v>
      </c>
      <c r="H65" s="71">
        <f>'Intermediate COL'!D64+'Intermediate COL'!D65*COL!$G65</f>
        <v>410.29880831618613</v>
      </c>
      <c r="I65" s="49">
        <f>'Intermediate COL'!E64+'Intermediate COL'!E65*COL!$G65</f>
        <v>320.36037154965311</v>
      </c>
      <c r="J65" s="49">
        <f>'Intermediate COL'!F64+'Intermediate COL'!F65*COL!$G65</f>
        <v>495.98709350608328</v>
      </c>
      <c r="L65" s="49">
        <f>'Intermediate COL'!H64+'Intermediate COL'!H65*COL!$G65</f>
        <v>397.96530563826741</v>
      </c>
      <c r="M65" s="49">
        <f>'Intermediate COL'!I64+'Intermediate COL'!I65*COL!$G65</f>
        <v>264.11333863018132</v>
      </c>
      <c r="N65" s="49">
        <f>'Intermediate COL'!J64+'Intermediate COL'!J65*COL!$G65</f>
        <v>531.53176153934021</v>
      </c>
      <c r="P65" s="49">
        <f>'Intermediate COL'!L64+'Intermediate COL'!L65*COL!$G65</f>
        <v>362.31094130198898</v>
      </c>
      <c r="Q65" s="49">
        <f>'Intermediate COL'!M64+'Intermediate COL'!M65*COL!$G65</f>
        <v>285.77672330613575</v>
      </c>
      <c r="R65" s="49">
        <f>'Intermediate COL'!N64+'Intermediate COL'!N65*COL!$G65</f>
        <v>441.5398232166541</v>
      </c>
      <c r="T65" t="s">
        <v>70</v>
      </c>
    </row>
    <row r="66" spans="1:21" x14ac:dyDescent="0.3">
      <c r="A66" s="5" t="s">
        <v>23</v>
      </c>
      <c r="B66" s="6" t="s">
        <v>5</v>
      </c>
      <c r="C66" s="24" t="str">
        <f>'Intermediate COL'!C66</f>
        <v>0.18 (0.05, 0.28)</v>
      </c>
      <c r="D66" s="65" t="str">
        <f>'Intermediate COL'!G66</f>
        <v>0.06 (-0.18, 0.17)</v>
      </c>
      <c r="E66" s="116" t="str">
        <f>'Intermediate COL'!K66</f>
        <v>0.29 (0.16, 0.40)</v>
      </c>
      <c r="G66" s="55">
        <v>0.55000000000000004</v>
      </c>
      <c r="H66" s="72">
        <f>'Intermediate COL'!D66+'Intermediate COL'!D67*COL!$G66</f>
        <v>0.76043418282685016</v>
      </c>
      <c r="I66" s="73">
        <f>'Intermediate COL'!E66+'Intermediate COL'!E67*COL!$G66</f>
        <v>0.54776851185495801</v>
      </c>
      <c r="J66" s="73">
        <f>'Intermediate COL'!F66+'Intermediate COL'!F67*COL!$G66</f>
        <v>0.97776410768353506</v>
      </c>
      <c r="L66" s="73">
        <f>'Intermediate COL'!H66+'Intermediate COL'!H67*COL!$G66</f>
        <v>0.71649792474354279</v>
      </c>
      <c r="M66" s="73">
        <f>'Intermediate COL'!I66+'Intermediate COL'!I67*COL!$G66</f>
        <v>0.381213801979365</v>
      </c>
      <c r="N66" s="73">
        <f>'Intermediate COL'!J66+'Intermediate COL'!J67*COL!$G66</f>
        <v>1.0371063016098261</v>
      </c>
      <c r="P66" s="73">
        <f>'Intermediate COL'!L66+'Intermediate COL'!L67*COL!$G66</f>
        <v>0.80481269487778118</v>
      </c>
      <c r="Q66" s="73">
        <f>'Intermediate COL'!M66+'Intermediate COL'!M67*COL!$G66</f>
        <v>0.58469893639213066</v>
      </c>
      <c r="R66" s="73">
        <f>'Intermediate COL'!N66+'Intermediate COL'!N67*COL!$G66</f>
        <v>1.0315081136413475</v>
      </c>
    </row>
    <row r="67" spans="1:21" x14ac:dyDescent="0.3">
      <c r="A67" s="5"/>
      <c r="B67" s="6" t="s">
        <v>6</v>
      </c>
      <c r="C67" s="24" t="str">
        <f>'Intermediate COL'!C67</f>
        <v>1.06 (0.90, 1.26)</v>
      </c>
      <c r="D67" s="65" t="str">
        <f>'Intermediate COL'!G67</f>
        <v>1.20 (1.01, 1.57)</v>
      </c>
      <c r="E67" s="116" t="str">
        <f>'Intermediate COL'!K67</f>
        <v>0.94 (0.78, 1.15)</v>
      </c>
      <c r="G67" s="55">
        <v>0.98</v>
      </c>
      <c r="H67" s="72">
        <f>'Intermediate COL'!D66+'Intermediate COL'!D67*COL!$G67</f>
        <v>1.2143637065125572</v>
      </c>
      <c r="I67" s="73">
        <f>'Intermediate COL'!E66+'Intermediate COL'!E67*COL!$G67</f>
        <v>0.93478742325595254</v>
      </c>
      <c r="J67" s="73">
        <f>'Intermediate COL'!F66+'Intermediate COL'!F67*COL!$G67</f>
        <v>1.5209835035282651</v>
      </c>
      <c r="L67" s="73">
        <f>'Intermediate COL'!H66+'Intermediate COL'!H67*COL!$G67</f>
        <v>1.2315083010258381</v>
      </c>
      <c r="M67" s="73">
        <f>'Intermediate COL'!I66+'Intermediate COL'!I67*COL!$G67</f>
        <v>0.81752246265517803</v>
      </c>
      <c r="N67" s="73">
        <f>'Intermediate COL'!J66+'Intermediate COL'!J67*COL!$G67</f>
        <v>1.7124105087987938</v>
      </c>
      <c r="P67" s="73">
        <f>'Intermediate COL'!L66+'Intermediate COL'!L67*COL!$G67</f>
        <v>1.2070409304617191</v>
      </c>
      <c r="Q67" s="73">
        <f>'Intermediate COL'!M66+'Intermediate COL'!M67*COL!$G67</f>
        <v>0.91834807296416354</v>
      </c>
      <c r="R67" s="73">
        <f>'Intermediate COL'!N66+'Intermediate COL'!N67*COL!$G67</f>
        <v>1.5279484444681484</v>
      </c>
    </row>
    <row r="68" spans="1:21" x14ac:dyDescent="0.3">
      <c r="A68" s="5" t="s">
        <v>22</v>
      </c>
      <c r="B68" s="6" t="s">
        <v>5</v>
      </c>
      <c r="C68" s="24" t="str">
        <f>'Intermediate COL'!C68</f>
        <v>0.08 (-0.04, 0.17)</v>
      </c>
      <c r="D68" s="65" t="str">
        <f>'Intermediate COL'!G68</f>
        <v>0.04 (-0.15, 0.20)</v>
      </c>
      <c r="E68" s="116" t="str">
        <f>'Intermediate COL'!K68</f>
        <v>0.22 (0.09, 0.29)</v>
      </c>
      <c r="G68" s="75">
        <v>0.7</v>
      </c>
      <c r="H68" s="72">
        <f>'Intermediate COL'!D68+'Intermediate COL'!D69*COL!$G68</f>
        <v>0.78006589388656344</v>
      </c>
      <c r="I68" s="73">
        <f>'Intermediate COL'!E68+'Intermediate COL'!E69*COL!$G68</f>
        <v>0.58412439653340575</v>
      </c>
      <c r="J68" s="73">
        <f>'Intermediate COL'!F68+'Intermediate COL'!F69*COL!$G68</f>
        <v>0.97648399959745391</v>
      </c>
      <c r="L68" s="73">
        <f>'Intermediate COL'!H68+'Intermediate COL'!H69*COL!$G68</f>
        <v>0.77069759516764547</v>
      </c>
      <c r="M68" s="73">
        <f>'Intermediate COL'!I68+'Intermediate COL'!I69*COL!$G68</f>
        <v>0.4419151909663942</v>
      </c>
      <c r="N68" s="73">
        <f>'Intermediate COL'!J68+'Intermediate COL'!J69*COL!$G68</f>
        <v>1.0979477395054751</v>
      </c>
      <c r="P68" s="73">
        <f>'Intermediate COL'!L68+'Intermediate COL'!L69*COL!$G68</f>
        <v>0.82211806503228224</v>
      </c>
      <c r="Q68" s="73">
        <f>'Intermediate COL'!M68+'Intermediate COL'!M69*COL!$G68</f>
        <v>0.63394775960394911</v>
      </c>
      <c r="R68" s="73">
        <f>'Intermediate COL'!N68+'Intermediate COL'!N69*COL!$G68</f>
        <v>1.006685600257621</v>
      </c>
      <c r="S68" t="s">
        <v>72</v>
      </c>
    </row>
    <row r="69" spans="1:21" ht="15" thickBot="1" x14ac:dyDescent="0.35">
      <c r="A69" s="9"/>
      <c r="B69" s="10" t="s">
        <v>6</v>
      </c>
      <c r="C69" s="26" t="str">
        <f>'Intermediate COL'!C69</f>
        <v>1.00 (0.89, 1.16)</v>
      </c>
      <c r="D69" s="67" t="str">
        <f>'Intermediate COL'!G69</f>
        <v>1.04 (0.84, 1.28)</v>
      </c>
      <c r="E69" s="117" t="str">
        <f>'Intermediate COL'!K69</f>
        <v>0.86 (0.77, 1.02)</v>
      </c>
      <c r="G69" s="55">
        <v>0.99</v>
      </c>
      <c r="H69" s="72">
        <f>'Intermediate COL'!D68+'Intermediate COL'!D69*COL!$G69</f>
        <v>1.0710118239445499</v>
      </c>
      <c r="I69" s="73">
        <f>'Intermediate COL'!E68+'Intermediate COL'!E69*COL!$G69</f>
        <v>0.84360634576025084</v>
      </c>
      <c r="J69" s="73">
        <f>'Intermediate COL'!F68+'Intermediate COL'!F69*COL!$G69</f>
        <v>1.3117136526133852</v>
      </c>
      <c r="L69" s="73">
        <f>'Intermediate COL'!H68+'Intermediate COL'!H69*COL!$G69</f>
        <v>1.07304857831129</v>
      </c>
      <c r="M69" s="73">
        <f>'Intermediate COL'!I68+'Intermediate COL'!I69*COL!$G69</f>
        <v>0.68683321233284089</v>
      </c>
      <c r="N69" s="73">
        <f>'Intermediate COL'!J68+'Intermediate COL'!J69*COL!$G69</f>
        <v>1.4690987925985448</v>
      </c>
      <c r="P69" s="73">
        <f>'Intermediate COL'!L68+'Intermediate COL'!L69*COL!$G69</f>
        <v>1.0724852018337208</v>
      </c>
      <c r="Q69" s="73">
        <f>'Intermediate COL'!M68+'Intermediate COL'!M69*COL!$G69</f>
        <v>0.85783021006641735</v>
      </c>
      <c r="R69" s="73">
        <f>'Intermediate COL'!N68+'Intermediate COL'!N69*COL!$G69</f>
        <v>1.3032057097728587</v>
      </c>
      <c r="T69" t="s">
        <v>73</v>
      </c>
    </row>
    <row r="70" spans="1:21" x14ac:dyDescent="0.3">
      <c r="U70" t="s">
        <v>74</v>
      </c>
    </row>
    <row r="71" spans="1:21" x14ac:dyDescent="0.3">
      <c r="U71" t="s">
        <v>76</v>
      </c>
    </row>
    <row r="72" spans="1:21" x14ac:dyDescent="0.3">
      <c r="A72" s="121" t="s">
        <v>81</v>
      </c>
    </row>
    <row r="73" spans="1:21" x14ac:dyDescent="0.3">
      <c r="A73" t="s">
        <v>66</v>
      </c>
      <c r="C73"/>
      <c r="S73" t="s">
        <v>77</v>
      </c>
      <c r="T73" t="s">
        <v>78</v>
      </c>
    </row>
    <row r="74" spans="1:21" ht="43.2" x14ac:dyDescent="0.3">
      <c r="B74" s="1" t="s">
        <v>40</v>
      </c>
      <c r="C74" s="1" t="s">
        <v>33</v>
      </c>
      <c r="D74" s="1" t="s">
        <v>34</v>
      </c>
      <c r="E74" s="1" t="s">
        <v>35</v>
      </c>
      <c r="T74" t="s">
        <v>79</v>
      </c>
    </row>
    <row r="75" spans="1:21" x14ac:dyDescent="0.3">
      <c r="A75" s="5" t="s">
        <v>20</v>
      </c>
      <c r="B75" s="6" t="s">
        <v>5</v>
      </c>
      <c r="C75" s="14" t="s">
        <v>31</v>
      </c>
      <c r="D75" s="11" t="s">
        <v>26</v>
      </c>
      <c r="E75" s="12" t="s">
        <v>28</v>
      </c>
      <c r="T75" t="s">
        <v>80</v>
      </c>
    </row>
    <row r="76" spans="1:21" x14ac:dyDescent="0.3">
      <c r="A76" s="5"/>
      <c r="B76" s="6" t="s">
        <v>6</v>
      </c>
      <c r="C76" s="14" t="s">
        <v>32</v>
      </c>
      <c r="D76" s="7" t="s">
        <v>27</v>
      </c>
      <c r="E76" s="8" t="s">
        <v>29</v>
      </c>
    </row>
  </sheetData>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C6D31-8024-4288-9403-17CCCE2781B5}">
  <dimension ref="A1:P69"/>
  <sheetViews>
    <sheetView zoomScale="70" zoomScaleNormal="70" workbookViewId="0">
      <selection activeCell="P2" sqref="P2"/>
    </sheetView>
  </sheetViews>
  <sheetFormatPr defaultRowHeight="14.4" x14ac:dyDescent="0.3"/>
  <cols>
    <col min="1" max="1" width="21.88671875" customWidth="1"/>
    <col min="2" max="2" width="17" customWidth="1"/>
    <col min="3" max="3" width="25.5546875" customWidth="1"/>
    <col min="4" max="4" width="13.88671875" customWidth="1"/>
    <col min="5" max="5" width="13.44140625" customWidth="1"/>
    <col min="6" max="6" width="14.5546875" customWidth="1"/>
    <col min="7" max="7" width="23.77734375" customWidth="1"/>
    <col min="8" max="8" width="11.88671875" customWidth="1"/>
    <col min="9" max="9" width="13.44140625" customWidth="1"/>
    <col min="10" max="10" width="11.6640625" customWidth="1"/>
    <col min="11" max="11" width="23.21875" customWidth="1"/>
    <col min="12" max="12" width="12.88671875" customWidth="1"/>
    <col min="13" max="13" width="14.44140625" customWidth="1"/>
    <col min="14" max="14" width="12" customWidth="1"/>
  </cols>
  <sheetData>
    <row r="1" spans="1:16" ht="78.599999999999994" thickBot="1" x14ac:dyDescent="0.35">
      <c r="A1" t="s">
        <v>2</v>
      </c>
      <c r="B1" s="1" t="s">
        <v>40</v>
      </c>
      <c r="C1" s="33" t="s">
        <v>33</v>
      </c>
      <c r="D1" s="33" t="s">
        <v>85</v>
      </c>
      <c r="E1" s="33" t="s">
        <v>86</v>
      </c>
      <c r="F1" s="33" t="s">
        <v>87</v>
      </c>
      <c r="G1" s="79" t="s">
        <v>34</v>
      </c>
      <c r="H1" s="79" t="s">
        <v>84</v>
      </c>
      <c r="I1" s="79" t="s">
        <v>82</v>
      </c>
      <c r="J1" s="79" t="s">
        <v>83</v>
      </c>
      <c r="K1" s="64" t="s">
        <v>35</v>
      </c>
      <c r="L1" s="64" t="s">
        <v>84</v>
      </c>
      <c r="M1" s="64" t="s">
        <v>82</v>
      </c>
      <c r="N1" s="64" t="s">
        <v>83</v>
      </c>
    </row>
    <row r="2" spans="1:16" x14ac:dyDescent="0.3">
      <c r="A2" s="3" t="s">
        <v>0</v>
      </c>
      <c r="B2" s="4" t="s">
        <v>5</v>
      </c>
      <c r="C2" s="25" t="str">
        <f>TEXT(D2,"0.00")&amp;" ("&amp;TEXT(E2,"0.00")&amp;", "&amp;TEXT(F2,"0.00")&amp;")"</f>
        <v>-71.15 (-117.81, -30.39)</v>
      </c>
      <c r="D2" s="107">
        <v>-71.154510867291506</v>
      </c>
      <c r="E2" s="107">
        <v>-117.81274326820601</v>
      </c>
      <c r="F2" s="107">
        <v>-30.386430308720499</v>
      </c>
      <c r="G2" s="66" t="str">
        <f>TEXT(H2,"0.00")&amp;" ("&amp;TEXT(I2,"0.00")&amp;", "&amp;TEXT(J2,"0.00")&amp;")"</f>
        <v>-14.36 (-44.40, 12.83)</v>
      </c>
      <c r="H2" s="36">
        <v>-14.3603110625213</v>
      </c>
      <c r="I2" s="36">
        <v>-44.399334420124397</v>
      </c>
      <c r="J2" s="36">
        <v>12.8341249676087</v>
      </c>
      <c r="K2" s="40" t="str">
        <f>TEXT(L2,"0.00")&amp;" ("&amp;TEXT(M2,"0.00")&amp;", "&amp;TEXT(N2,"0.00")&amp;")"</f>
        <v>8.40 (-15.92, 31.76)</v>
      </c>
      <c r="L2" s="69">
        <v>8.3957500573096695</v>
      </c>
      <c r="M2" s="6">
        <v>-15.916557645731</v>
      </c>
      <c r="N2" s="41">
        <v>31.755627096545101</v>
      </c>
      <c r="P2" s="6"/>
    </row>
    <row r="3" spans="1:16" x14ac:dyDescent="0.3">
      <c r="A3" s="5"/>
      <c r="B3" s="6" t="s">
        <v>6</v>
      </c>
      <c r="C3" s="22" t="str">
        <f t="shared" ref="C3:C23" si="0">TEXT(D3,"0.00")&amp;" ("&amp;TEXT(E3,"0.00")&amp;", "&amp;TEXT(F3,"0.00")&amp;")"</f>
        <v>1.05 (1.03, 1.07)</v>
      </c>
      <c r="D3" s="108">
        <v>1.0465245229209299</v>
      </c>
      <c r="E3" s="108">
        <v>1.0334227959475599</v>
      </c>
      <c r="F3" s="108">
        <v>1.0654771876814599</v>
      </c>
      <c r="G3" s="112" t="str">
        <f t="shared" ref="G3:G23" si="1">TEXT(H3,"0.00")&amp;" ("&amp;TEXT(I3,"0.00")&amp;", "&amp;TEXT(J3,"0.00")&amp;")"</f>
        <v>1.01 (1.00, 1.02)</v>
      </c>
      <c r="H3" s="35">
        <v>1.00759001641782</v>
      </c>
      <c r="I3" s="34">
        <v>0.99800579954257096</v>
      </c>
      <c r="J3" s="35">
        <v>1.01929288038236</v>
      </c>
      <c r="K3" s="7" t="str">
        <f t="shared" ref="K3:K23" si="2">TEXT(L3,"0.00")&amp;" ("&amp;TEXT(M3,"0.00")&amp;", "&amp;TEXT(N3,"0.00")&amp;")"</f>
        <v>0.97 (0.96, 0.98)</v>
      </c>
      <c r="L3" s="69">
        <v>0.973440355499542</v>
      </c>
      <c r="M3" s="6">
        <v>0.96412406724223898</v>
      </c>
      <c r="N3" s="41">
        <v>0.98323792149900102</v>
      </c>
      <c r="P3" s="6"/>
    </row>
    <row r="4" spans="1:16" x14ac:dyDescent="0.3">
      <c r="A4" s="5" t="s">
        <v>12</v>
      </c>
      <c r="B4" s="6" t="s">
        <v>5</v>
      </c>
      <c r="C4" s="22" t="str">
        <f t="shared" si="0"/>
        <v>239.46 (168.29, 293.68)</v>
      </c>
      <c r="D4" s="29">
        <v>239.45747531568901</v>
      </c>
      <c r="E4" s="22">
        <v>168.289712982537</v>
      </c>
      <c r="F4" s="22">
        <v>293.68430503464702</v>
      </c>
      <c r="G4" s="112" t="str">
        <f t="shared" si="1"/>
        <v>49.50 (-65.26, 139.46)</v>
      </c>
      <c r="H4" s="35">
        <v>49.500000000000199</v>
      </c>
      <c r="I4" s="35">
        <v>-65.259254517856903</v>
      </c>
      <c r="J4" s="35">
        <v>139.45939820004199</v>
      </c>
      <c r="K4" s="7" t="str">
        <f t="shared" si="2"/>
        <v>182.93 (19.44, 345.03)</v>
      </c>
      <c r="L4" s="69">
        <v>182.93281878069999</v>
      </c>
      <c r="M4" s="6">
        <v>19.4433203653489</v>
      </c>
      <c r="N4" s="41">
        <v>345.03186444607201</v>
      </c>
      <c r="P4" s="6"/>
    </row>
    <row r="5" spans="1:16" x14ac:dyDescent="0.3">
      <c r="A5" s="5"/>
      <c r="B5" s="6" t="s">
        <v>6</v>
      </c>
      <c r="C5" s="24" t="str">
        <f t="shared" si="0"/>
        <v>0.85 (0.81, 0.89)</v>
      </c>
      <c r="D5" s="24">
        <v>0.84568824507834595</v>
      </c>
      <c r="E5" s="24">
        <v>0.81407138555034297</v>
      </c>
      <c r="F5" s="24">
        <v>0.89021571803781396</v>
      </c>
      <c r="G5" s="112" t="str">
        <f t="shared" si="1"/>
        <v>1.00 (0.94, 1.07)</v>
      </c>
      <c r="H5" s="35">
        <v>1</v>
      </c>
      <c r="I5" s="35">
        <v>0.94457742676093803</v>
      </c>
      <c r="J5" s="35">
        <v>1.06747328678922</v>
      </c>
      <c r="K5" s="7" t="str">
        <f t="shared" si="2"/>
        <v>0.97 (0.88, 1.06)</v>
      </c>
      <c r="L5" s="69">
        <v>0.97244343099068298</v>
      </c>
      <c r="M5" s="6">
        <v>0.87773101145611399</v>
      </c>
      <c r="N5" s="41">
        <v>1.0621372510837599</v>
      </c>
      <c r="P5" s="6"/>
    </row>
    <row r="6" spans="1:16" x14ac:dyDescent="0.3">
      <c r="A6" s="5" t="s">
        <v>14</v>
      </c>
      <c r="B6" s="6" t="s">
        <v>5</v>
      </c>
      <c r="C6" s="24" t="str">
        <f t="shared" si="0"/>
        <v>0.90 (0.21, 1.33)</v>
      </c>
      <c r="D6" s="24">
        <v>0.90350044261478002</v>
      </c>
      <c r="E6" s="24">
        <v>0.20658837280792999</v>
      </c>
      <c r="F6" s="24">
        <v>1.32916218850582</v>
      </c>
      <c r="G6" s="112" t="str">
        <f>"*"&amp;TEXT(H6,"0.00")&amp;" ("&amp;TEXT(I6,"0.00")&amp;", "&amp;TEXT(J6,"0.00")&amp;")"</f>
        <v>*0.76 (0.00, 0.00)</v>
      </c>
      <c r="H6" s="35">
        <v>0.76326301807484198</v>
      </c>
      <c r="I6" s="38"/>
      <c r="J6" s="38"/>
      <c r="K6" s="7" t="str">
        <f t="shared" si="2"/>
        <v>4.00 (3.40, 5.33)</v>
      </c>
      <c r="L6" s="69">
        <v>4</v>
      </c>
      <c r="M6" s="6">
        <v>3.4</v>
      </c>
      <c r="N6" s="41">
        <v>5.3333333333333304</v>
      </c>
      <c r="P6" s="6"/>
    </row>
    <row r="7" spans="1:16" x14ac:dyDescent="0.3">
      <c r="A7" s="5"/>
      <c r="B7" s="6" t="s">
        <v>6</v>
      </c>
      <c r="C7" s="24" t="str">
        <f t="shared" si="0"/>
        <v>0.96 (0.85, 1.06)</v>
      </c>
      <c r="D7" s="24">
        <v>0.95528456252596405</v>
      </c>
      <c r="E7" s="24">
        <v>0.84765216156911205</v>
      </c>
      <c r="F7" s="24">
        <v>1.0635838509141899</v>
      </c>
      <c r="G7" s="112" t="str">
        <f>"*"&amp;TEXT(H7,"0.00")&amp;" ("&amp;TEXT(I7,"0.00")&amp;", "&amp;TEXT(J7,"0.00")&amp;")"</f>
        <v>*0.93 (0.86, 1.01)</v>
      </c>
      <c r="H7" s="35">
        <v>0.93210037045330096</v>
      </c>
      <c r="I7" s="35">
        <v>0.85767122238169502</v>
      </c>
      <c r="J7" s="35">
        <v>1.01298851812534</v>
      </c>
      <c r="K7" s="7" t="str">
        <f t="shared" si="2"/>
        <v>1.00 (0.83, 1.20)</v>
      </c>
      <c r="L7" s="69">
        <v>1</v>
      </c>
      <c r="M7" s="6">
        <v>0.83333333333333404</v>
      </c>
      <c r="N7" s="41">
        <v>1.2</v>
      </c>
      <c r="P7" s="6"/>
    </row>
    <row r="8" spans="1:16" x14ac:dyDescent="0.3">
      <c r="A8" s="5" t="s">
        <v>15</v>
      </c>
      <c r="B8" s="6" t="s">
        <v>5</v>
      </c>
      <c r="C8" s="24" t="str">
        <f t="shared" si="0"/>
        <v>3.91 (-58.66, 58.80)</v>
      </c>
      <c r="D8" s="24">
        <v>3.9144810169225401</v>
      </c>
      <c r="E8" s="24">
        <v>-58.6625076320624</v>
      </c>
      <c r="F8" s="24">
        <v>58.796667746288698</v>
      </c>
      <c r="G8" s="112" t="str">
        <f t="shared" si="1"/>
        <v>54.57 (23.29, 82.75)</v>
      </c>
      <c r="H8" s="35">
        <v>54.568339412364097</v>
      </c>
      <c r="I8" s="35">
        <v>23.2925890819788</v>
      </c>
      <c r="J8" s="35">
        <v>82.746813444690403</v>
      </c>
      <c r="K8" s="7" t="str">
        <f t="shared" si="2"/>
        <v>206.68 (155.96, 264.31)</v>
      </c>
      <c r="L8" s="69">
        <v>206.683610254347</v>
      </c>
      <c r="M8" s="6">
        <v>155.96349168912599</v>
      </c>
      <c r="N8" s="41">
        <v>264.31130084809098</v>
      </c>
      <c r="P8" s="6"/>
    </row>
    <row r="9" spans="1:16" x14ac:dyDescent="0.3">
      <c r="A9" s="5"/>
      <c r="B9" s="6" t="s">
        <v>6</v>
      </c>
      <c r="C9" s="24" t="str">
        <f t="shared" si="0"/>
        <v>1.01 (1.00, 1.03)</v>
      </c>
      <c r="D9" s="24">
        <v>1.0123064793761201</v>
      </c>
      <c r="E9" s="24">
        <v>0.99884840243346495</v>
      </c>
      <c r="F9" s="24">
        <v>1.02635933619117</v>
      </c>
      <c r="G9" s="112" t="str">
        <f t="shared" si="1"/>
        <v>1.00 (1.00, 1.01)</v>
      </c>
      <c r="H9" s="35">
        <v>1.0014606251154901</v>
      </c>
      <c r="I9" s="35">
        <v>0.99540661197492497</v>
      </c>
      <c r="J9" s="35">
        <v>1.0080584323662101</v>
      </c>
      <c r="K9" s="7" t="str">
        <f t="shared" si="2"/>
        <v>0.97 (0.96, 0.98)</v>
      </c>
      <c r="L9" s="69">
        <v>0.96984033358080901</v>
      </c>
      <c r="M9" s="6">
        <v>0.95870370285242401</v>
      </c>
      <c r="N9" s="41">
        <v>0.98034340604483305</v>
      </c>
      <c r="P9" s="6"/>
    </row>
    <row r="10" spans="1:16" x14ac:dyDescent="0.3">
      <c r="A10" s="5" t="s">
        <v>16</v>
      </c>
      <c r="B10" s="6" t="s">
        <v>5</v>
      </c>
      <c r="C10" s="24" t="str">
        <f t="shared" si="0"/>
        <v>0.44 (-0.65, 1.35)</v>
      </c>
      <c r="D10" s="24">
        <v>0.43743837728252599</v>
      </c>
      <c r="E10" s="24">
        <v>-0.65258765486816595</v>
      </c>
      <c r="F10" s="24">
        <v>1.3530515091858299</v>
      </c>
      <c r="G10" s="112" t="str">
        <f>"*"&amp;TEXT(H10,"0.00")&amp;" ("&amp;TEXT(I10,"0.00")&amp;", "&amp;TEXT(J10,"0.00")&amp;")"</f>
        <v>*1.52 (0.00, 0.00)</v>
      </c>
      <c r="H10" s="35">
        <v>1.5189232002595801</v>
      </c>
      <c r="I10" s="39"/>
      <c r="J10" s="38"/>
      <c r="K10" s="112" t="str">
        <f>"*"&amp;TEXT(L10,"0.00")&amp;" ("&amp;TEXT(M10,"0.00")&amp;", "&amp;TEXT(N10,"0.00")&amp;")"</f>
        <v>*2.94 (0.00, 0.00)</v>
      </c>
      <c r="L10" s="69">
        <v>2.9350576876931398</v>
      </c>
      <c r="M10" s="62"/>
      <c r="N10" s="63"/>
      <c r="P10" s="6"/>
    </row>
    <row r="11" spans="1:16" x14ac:dyDescent="0.3">
      <c r="A11" s="5"/>
      <c r="B11" s="6" t="s">
        <v>6</v>
      </c>
      <c r="C11" s="24" t="str">
        <f t="shared" si="0"/>
        <v>0.97 (0.91, 1.03)</v>
      </c>
      <c r="D11" s="24">
        <v>0.96809980375496696</v>
      </c>
      <c r="E11" s="24">
        <v>0.91055857540113505</v>
      </c>
      <c r="F11" s="24">
        <v>1.0344085948736901</v>
      </c>
      <c r="G11" s="112" t="str">
        <f>"*"&amp;TEXT(H11,"0.00")&amp;" ("&amp;TEXT(I11,"0.00")&amp;", "&amp;TEXT(J11,"0.00")&amp;")"</f>
        <v>*0.95 (0.87, 1.03)</v>
      </c>
      <c r="H11" s="35">
        <v>0.94808343501358305</v>
      </c>
      <c r="I11" s="35">
        <v>0.87021052631587703</v>
      </c>
      <c r="J11" s="35">
        <v>1.0329249906371301</v>
      </c>
      <c r="K11" s="112" t="str">
        <f>"*"&amp;TEXT(L11,"0.00")&amp;" ("&amp;TEXT(M11,"0.00")&amp;", "&amp;TEXT(N11,"0.00")&amp;")"</f>
        <v>*0.81 (0.73, 0.90)</v>
      </c>
      <c r="L11" s="69">
        <v>0.81157866171225201</v>
      </c>
      <c r="M11" s="6">
        <v>0.73333371838290695</v>
      </c>
      <c r="N11" s="41">
        <v>0.89817215223524405</v>
      </c>
      <c r="P11" s="6"/>
    </row>
    <row r="12" spans="1:16" x14ac:dyDescent="0.3">
      <c r="A12" s="5" t="s">
        <v>17</v>
      </c>
      <c r="B12" s="6" t="s">
        <v>5</v>
      </c>
      <c r="C12" s="24" t="str">
        <f t="shared" si="0"/>
        <v>-0.06 (-1.06, 0.25)</v>
      </c>
      <c r="D12" s="24">
        <v>-5.6048164838298199E-2</v>
      </c>
      <c r="E12" s="24">
        <v>-1.0577627787124899</v>
      </c>
      <c r="F12" s="24">
        <v>0.249984605166955</v>
      </c>
      <c r="G12" s="65" t="str">
        <f t="shared" si="1"/>
        <v>-1.48 (-2.42, -0.97)</v>
      </c>
      <c r="H12" s="24">
        <v>-1.47850172368663</v>
      </c>
      <c r="I12" s="24">
        <v>-2.4238177407191399</v>
      </c>
      <c r="J12" s="24">
        <v>-0.97311409419771899</v>
      </c>
      <c r="K12" s="7" t="str">
        <f t="shared" si="2"/>
        <v>14.20 (12.52, 16.68)</v>
      </c>
      <c r="L12" s="69">
        <v>14.1959626074659</v>
      </c>
      <c r="M12" s="6">
        <v>12.5192444242566</v>
      </c>
      <c r="N12" s="41">
        <v>16.677636182155702</v>
      </c>
      <c r="P12" s="6"/>
    </row>
    <row r="13" spans="1:16" x14ac:dyDescent="0.3">
      <c r="A13" s="5"/>
      <c r="B13" s="6" t="s">
        <v>6</v>
      </c>
      <c r="C13" s="24" t="str">
        <f t="shared" si="0"/>
        <v>0.80 (0.77, 0.89)</v>
      </c>
      <c r="D13" s="24">
        <v>0.80184612279088296</v>
      </c>
      <c r="E13" s="24">
        <v>0.76898619471219398</v>
      </c>
      <c r="F13" s="24">
        <v>0.89350073795801999</v>
      </c>
      <c r="G13" s="112" t="str">
        <f t="shared" si="1"/>
        <v>0.73 (0.68, 0.81)</v>
      </c>
      <c r="H13" s="35">
        <v>0.73401338469560895</v>
      </c>
      <c r="I13" s="35">
        <v>0.67969461314261603</v>
      </c>
      <c r="J13" s="35">
        <v>0.81320323954670704</v>
      </c>
      <c r="K13" s="7" t="str">
        <f t="shared" si="2"/>
        <v>0.79 (0.61, 0.92)</v>
      </c>
      <c r="L13" s="69">
        <v>0.79083299545723895</v>
      </c>
      <c r="M13" s="6">
        <v>0.60753008109811302</v>
      </c>
      <c r="N13" s="41">
        <v>0.92450041301803099</v>
      </c>
      <c r="P13" s="6"/>
    </row>
    <row r="14" spans="1:16" x14ac:dyDescent="0.3">
      <c r="A14" s="5" t="s">
        <v>19</v>
      </c>
      <c r="B14" s="6" t="s">
        <v>5</v>
      </c>
      <c r="C14" s="24" t="str">
        <f t="shared" si="0"/>
        <v>0.21 (-0.14, 0.49)</v>
      </c>
      <c r="D14" s="24">
        <v>0.21056747021617001</v>
      </c>
      <c r="E14" s="24">
        <v>-0.144121557247789</v>
      </c>
      <c r="F14" s="24">
        <v>0.488479522968288</v>
      </c>
      <c r="G14" s="65" t="str">
        <f t="shared" si="1"/>
        <v>-0.14 (-0.33, 0.01)</v>
      </c>
      <c r="H14" s="24">
        <v>-0.141666666666667</v>
      </c>
      <c r="I14" s="24">
        <v>-0.32921343275609999</v>
      </c>
      <c r="J14" s="24">
        <v>1.0714285714285799E-2</v>
      </c>
      <c r="K14" s="7" t="str">
        <f t="shared" si="2"/>
        <v>2.30 (1.54, 2.94)</v>
      </c>
      <c r="L14" s="69">
        <v>2.2970588235294098</v>
      </c>
      <c r="M14" s="6">
        <v>1.5362068965517199</v>
      </c>
      <c r="N14" s="41">
        <v>2.9375</v>
      </c>
      <c r="P14" s="6"/>
    </row>
    <row r="15" spans="1:16" x14ac:dyDescent="0.3">
      <c r="A15" s="5"/>
      <c r="B15" s="6" t="s">
        <v>6</v>
      </c>
      <c r="C15" s="24" t="str">
        <f t="shared" si="0"/>
        <v>0.99 (0.91, 1.12)</v>
      </c>
      <c r="D15" s="24">
        <v>0.99440240472248698</v>
      </c>
      <c r="E15" s="24">
        <v>0.91171570594175699</v>
      </c>
      <c r="F15" s="24">
        <v>1.12415864110832</v>
      </c>
      <c r="G15" s="112" t="str">
        <f t="shared" si="1"/>
        <v>0.72 (0.68, 0.80)</v>
      </c>
      <c r="H15" s="35">
        <v>0.72222222222222199</v>
      </c>
      <c r="I15" s="35">
        <v>0.67857142857142905</v>
      </c>
      <c r="J15" s="35">
        <v>0.80383893031504206</v>
      </c>
      <c r="K15" s="7" t="str">
        <f t="shared" si="2"/>
        <v>0.94 (0.75, 1.17)</v>
      </c>
      <c r="L15" s="69">
        <v>0.94117647058823495</v>
      </c>
      <c r="M15" s="6">
        <v>0.75</v>
      </c>
      <c r="N15" s="41">
        <v>1.17241379310345</v>
      </c>
      <c r="P15" s="6"/>
    </row>
    <row r="16" spans="1:16" x14ac:dyDescent="0.3">
      <c r="A16" s="5" t="s">
        <v>20</v>
      </c>
      <c r="B16" s="6" t="s">
        <v>5</v>
      </c>
      <c r="C16" s="24" t="str">
        <f t="shared" si="0"/>
        <v>-27.43 (-33.84, -22.85)</v>
      </c>
      <c r="D16" s="24">
        <v>-27.431320619820301</v>
      </c>
      <c r="E16" s="24">
        <v>-33.836962845741503</v>
      </c>
      <c r="F16" s="24">
        <v>-22.8462900838731</v>
      </c>
      <c r="G16" s="65" t="str">
        <f t="shared" si="1"/>
        <v>-44.29 (-54.87, -39.05)</v>
      </c>
      <c r="H16" s="24">
        <v>-44.294773468622097</v>
      </c>
      <c r="I16" s="24">
        <v>-54.866714728368301</v>
      </c>
      <c r="J16" s="24">
        <v>-39.049990683861303</v>
      </c>
      <c r="K16" s="11" t="str">
        <f t="shared" si="2"/>
        <v>232.15 (206.85, 254.79)</v>
      </c>
      <c r="L16" s="69">
        <v>232.154235294118</v>
      </c>
      <c r="M16" s="6">
        <v>206.85352798053501</v>
      </c>
      <c r="N16" s="41">
        <v>254.79273533424299</v>
      </c>
      <c r="P16" s="6"/>
    </row>
    <row r="17" spans="1:16" x14ac:dyDescent="0.3">
      <c r="A17" s="5"/>
      <c r="B17" s="6" t="s">
        <v>6</v>
      </c>
      <c r="C17" s="24" t="str">
        <f t="shared" si="0"/>
        <v>0.77 (0.75, 0.80)</v>
      </c>
      <c r="D17" s="24">
        <v>0.77403496039803299</v>
      </c>
      <c r="E17" s="24">
        <v>0.75386312303803105</v>
      </c>
      <c r="F17" s="24">
        <v>0.80249835445422901</v>
      </c>
      <c r="G17" s="112" t="str">
        <f t="shared" si="1"/>
        <v>0.75 (0.73, 0.80)</v>
      </c>
      <c r="H17" s="35">
        <v>0.75093880166006899</v>
      </c>
      <c r="I17" s="35">
        <v>0.726415033727139</v>
      </c>
      <c r="J17" s="35">
        <v>0.79712603460932996</v>
      </c>
      <c r="K17" s="7" t="str">
        <f t="shared" si="2"/>
        <v>0.56 (0.48, 0.68)</v>
      </c>
      <c r="L17" s="69">
        <v>0.55764705882352905</v>
      </c>
      <c r="M17" s="6">
        <v>0.47817189631650697</v>
      </c>
      <c r="N17" s="41">
        <v>0.68126520681265201</v>
      </c>
      <c r="P17" s="6"/>
    </row>
    <row r="18" spans="1:16" x14ac:dyDescent="0.3">
      <c r="A18" s="5" t="s">
        <v>21</v>
      </c>
      <c r="B18" s="6" t="s">
        <v>5</v>
      </c>
      <c r="C18" s="24" t="str">
        <f t="shared" si="0"/>
        <v>54.82 (45.28, 62.88)</v>
      </c>
      <c r="D18" s="24">
        <v>54.820940305872099</v>
      </c>
      <c r="E18" s="24">
        <v>45.284528514912402</v>
      </c>
      <c r="F18" s="24">
        <v>62.881190751223997</v>
      </c>
      <c r="G18" s="112" t="str">
        <f t="shared" si="1"/>
        <v>65.26 (57.38, 70.64)</v>
      </c>
      <c r="H18" s="35">
        <v>65.262168504328301</v>
      </c>
      <c r="I18" s="35">
        <v>57.380300153792298</v>
      </c>
      <c r="J18" s="35">
        <v>70.637286738675002</v>
      </c>
      <c r="K18" s="11" t="str">
        <f t="shared" si="2"/>
        <v>29.68 (-24.00, 59.23)</v>
      </c>
      <c r="L18" s="69">
        <v>29.675643772421999</v>
      </c>
      <c r="M18" s="6">
        <v>-23.999999999980002</v>
      </c>
      <c r="N18" s="41">
        <v>59.228473481681696</v>
      </c>
      <c r="P18" s="6"/>
    </row>
    <row r="19" spans="1:16" x14ac:dyDescent="0.3">
      <c r="A19" s="5"/>
      <c r="B19" s="6" t="s">
        <v>6</v>
      </c>
      <c r="C19" s="24" t="str">
        <f t="shared" si="0"/>
        <v>0.87 (0.84, 0.91)</v>
      </c>
      <c r="D19" s="24">
        <v>0.87448622934841203</v>
      </c>
      <c r="E19" s="24">
        <v>0.84466300972094999</v>
      </c>
      <c r="F19" s="24">
        <v>0.90958760727166899</v>
      </c>
      <c r="G19" s="112" t="str">
        <f t="shared" si="1"/>
        <v>0.74 (0.72, 0.77)</v>
      </c>
      <c r="H19" s="35">
        <v>0.74347364652103598</v>
      </c>
      <c r="I19" s="35">
        <v>0.72437908796207795</v>
      </c>
      <c r="J19" s="35">
        <v>0.77444520100779002</v>
      </c>
      <c r="K19" s="11" t="str">
        <f t="shared" si="2"/>
        <v>0.80 (0.69, 1.00)</v>
      </c>
      <c r="L19" s="69">
        <v>0.80490523090657895</v>
      </c>
      <c r="M19" s="6">
        <v>0.68961201351899504</v>
      </c>
      <c r="N19" s="41">
        <v>0.99999999999992895</v>
      </c>
      <c r="P19" s="6"/>
    </row>
    <row r="20" spans="1:16" x14ac:dyDescent="0.3">
      <c r="A20" s="5" t="s">
        <v>23</v>
      </c>
      <c r="B20" s="6" t="s">
        <v>5</v>
      </c>
      <c r="C20" s="24" t="str">
        <f t="shared" si="0"/>
        <v>0.21 (0.12, 0.24)</v>
      </c>
      <c r="D20" s="24">
        <v>0.20867523571188801</v>
      </c>
      <c r="E20" s="24">
        <v>0.12465637876208099</v>
      </c>
      <c r="F20" s="24">
        <v>0.239955322695246</v>
      </c>
      <c r="G20" s="112" t="str">
        <f t="shared" si="1"/>
        <v>0.31 (0.24, 0.36)</v>
      </c>
      <c r="H20" s="35">
        <v>0.30954444444444401</v>
      </c>
      <c r="I20" s="35">
        <v>0.244317307692306</v>
      </c>
      <c r="J20" s="35">
        <v>0.35634375000000001</v>
      </c>
      <c r="K20" s="11" t="str">
        <f t="shared" si="2"/>
        <v>-0.05 (-0.17, 0.11)</v>
      </c>
      <c r="L20" s="69">
        <v>-4.8228932519305899E-2</v>
      </c>
      <c r="M20" s="6">
        <v>-0.17083868017388901</v>
      </c>
      <c r="N20" s="41">
        <v>0.112612697671658</v>
      </c>
      <c r="P20" s="6"/>
    </row>
    <row r="21" spans="1:16" x14ac:dyDescent="0.3">
      <c r="A21" s="5"/>
      <c r="B21" s="6" t="s">
        <v>6</v>
      </c>
      <c r="C21" s="24" t="str">
        <f t="shared" si="0"/>
        <v>0.79 (0.76, 0.89)</v>
      </c>
      <c r="D21" s="24">
        <v>0.79228353487964098</v>
      </c>
      <c r="E21" s="24">
        <v>0.75629776421019401</v>
      </c>
      <c r="F21" s="24">
        <v>0.89286796624376996</v>
      </c>
      <c r="G21" s="112" t="str">
        <f t="shared" si="1"/>
        <v>0.71 (0.66, 0.79)</v>
      </c>
      <c r="H21" s="35">
        <v>0.71111111111111103</v>
      </c>
      <c r="I21" s="35">
        <v>0.65625</v>
      </c>
      <c r="J21" s="35">
        <v>0.78846153846154099</v>
      </c>
      <c r="K21" s="11" t="str">
        <f t="shared" si="2"/>
        <v>0.83 (0.64, 0.99)</v>
      </c>
      <c r="L21" s="69">
        <v>0.83493463394668199</v>
      </c>
      <c r="M21" s="6">
        <v>0.63675006822469604</v>
      </c>
      <c r="N21" s="41">
        <v>0.98554083096576395</v>
      </c>
      <c r="P21" s="6"/>
    </row>
    <row r="22" spans="1:16" x14ac:dyDescent="0.3">
      <c r="A22" s="5" t="s">
        <v>22</v>
      </c>
      <c r="B22" s="6" t="s">
        <v>5</v>
      </c>
      <c r="C22" s="24" t="str">
        <f t="shared" si="0"/>
        <v>0.11 (0.03, 0.18)</v>
      </c>
      <c r="D22" s="24">
        <v>0.106656385393852</v>
      </c>
      <c r="E22" s="24">
        <v>3.45323967144089E-2</v>
      </c>
      <c r="F22" s="24">
        <v>0.17673034212876801</v>
      </c>
      <c r="G22" s="112" t="str">
        <f t="shared" si="1"/>
        <v>0.24 (0.17, 0.28)</v>
      </c>
      <c r="H22" s="35">
        <v>0.239937184349202</v>
      </c>
      <c r="I22" s="35">
        <v>0.17268181818181699</v>
      </c>
      <c r="J22" s="35">
        <v>0.28173874088911799</v>
      </c>
      <c r="K22" s="11" t="str">
        <f t="shared" si="2"/>
        <v>-0.04 (-0.24, 0.12)</v>
      </c>
      <c r="L22" s="69">
        <v>-3.9214737371741998E-2</v>
      </c>
      <c r="M22" s="6">
        <v>-0.23926008778162899</v>
      </c>
      <c r="N22" s="41">
        <v>0.116629628868124</v>
      </c>
      <c r="P22" s="6"/>
    </row>
    <row r="23" spans="1:16" ht="15" thickBot="1" x14ac:dyDescent="0.35">
      <c r="A23" s="9"/>
      <c r="B23" s="10" t="s">
        <v>6</v>
      </c>
      <c r="C23" s="26" t="str">
        <f t="shared" si="0"/>
        <v>0.89 (0.81, 0.97)</v>
      </c>
      <c r="D23" s="26">
        <v>0.88829846159318404</v>
      </c>
      <c r="E23" s="26">
        <v>0.80826911870648099</v>
      </c>
      <c r="F23" s="26">
        <v>0.96951550806681197</v>
      </c>
      <c r="G23" s="113" t="str">
        <f t="shared" si="1"/>
        <v>0.77 (0.72, 0.84)</v>
      </c>
      <c r="H23" s="37">
        <v>0.76568581055920204</v>
      </c>
      <c r="I23" s="37">
        <v>0.71955046603422601</v>
      </c>
      <c r="J23" s="37">
        <v>0.84090909090909205</v>
      </c>
      <c r="K23" s="15" t="str">
        <f t="shared" si="2"/>
        <v>0.96 (0.78, 1.18)</v>
      </c>
      <c r="L23" s="109">
        <v>0.95915018031287302</v>
      </c>
      <c r="M23" s="10">
        <v>0.78135303021026103</v>
      </c>
      <c r="N23" s="42">
        <v>1.1840696669931901</v>
      </c>
    </row>
    <row r="24" spans="1:16" ht="45" customHeight="1" thickBot="1" x14ac:dyDescent="0.35">
      <c r="A24" t="s">
        <v>2</v>
      </c>
      <c r="B24" s="1" t="s">
        <v>25</v>
      </c>
      <c r="C24" s="1" t="s">
        <v>4</v>
      </c>
      <c r="D24" s="59" t="s">
        <v>88</v>
      </c>
      <c r="E24" s="59" t="s">
        <v>89</v>
      </c>
      <c r="F24" s="59" t="s">
        <v>90</v>
      </c>
      <c r="G24" s="1" t="s">
        <v>36</v>
      </c>
      <c r="H24" s="1" t="s">
        <v>84</v>
      </c>
      <c r="I24" s="1" t="s">
        <v>82</v>
      </c>
      <c r="J24" s="1" t="s">
        <v>83</v>
      </c>
      <c r="K24" s="1" t="s">
        <v>37</v>
      </c>
      <c r="L24" s="1" t="s">
        <v>84</v>
      </c>
      <c r="M24" s="1" t="s">
        <v>82</v>
      </c>
      <c r="N24" s="1" t="s">
        <v>83</v>
      </c>
      <c r="P24" s="6"/>
    </row>
    <row r="25" spans="1:16" x14ac:dyDescent="0.3">
      <c r="A25" s="3" t="s">
        <v>0</v>
      </c>
      <c r="B25" s="4" t="s">
        <v>5</v>
      </c>
      <c r="C25" s="27" t="str">
        <f>TEXT(D25,"0.00")&amp;" ("&amp;TEXT(E25,"0.00")&amp;", "&amp;TEXT(F25,"0.00")&amp;")"</f>
        <v>-55.97 (-69.12, -42.69)</v>
      </c>
      <c r="D25" s="110">
        <v>-55.972298344133598</v>
      </c>
      <c r="E25">
        <v>-69.119547078634497</v>
      </c>
      <c r="F25">
        <v>-42.685845583535297</v>
      </c>
      <c r="G25" s="66" t="str">
        <f>TEXT(H25,"0.00")&amp;" ("&amp;TEXT(I25,"0.00")&amp;", "&amp;TEXT(J25,"0.00")&amp;")"</f>
        <v>14.25 (-12.86, 43.56)</v>
      </c>
      <c r="H25" s="111">
        <v>14.252137107883399</v>
      </c>
      <c r="I25" s="4">
        <v>-12.859769926678201</v>
      </c>
      <c r="J25" s="4">
        <v>43.558956679329</v>
      </c>
      <c r="K25" s="66" t="str">
        <f>TEXT(L25,"0.00")&amp;" ("&amp;TEXT(M25,"0.00")&amp;", "&amp;TEXT(N25,"0.00")&amp;")"</f>
        <v>21.28 (9.54, 32.67)</v>
      </c>
      <c r="L25" s="111">
        <v>21.2808211309498</v>
      </c>
      <c r="M25" s="4">
        <v>9.5372948645203905</v>
      </c>
      <c r="N25" s="60">
        <v>32.666141514740701</v>
      </c>
      <c r="P25" s="6"/>
    </row>
    <row r="26" spans="1:16" x14ac:dyDescent="0.3">
      <c r="A26" s="5"/>
      <c r="B26" s="6" t="s">
        <v>6</v>
      </c>
      <c r="C26" s="28" t="str">
        <f t="shared" ref="C26:C46" si="3">TEXT(D26,"0.00")&amp;" ("&amp;TEXT(E26,"0.00")&amp;", "&amp;TEXT(F26,"0.00")&amp;")"</f>
        <v>1.04 (1.03, 1.04)</v>
      </c>
      <c r="D26" s="110">
        <v>1.03891626656724</v>
      </c>
      <c r="E26">
        <v>1.0348111251188301</v>
      </c>
      <c r="F26">
        <v>1.0436487299188599</v>
      </c>
      <c r="G26" s="65" t="str">
        <f t="shared" ref="G26:G46" si="4">TEXT(H26,"0.00")&amp;" ("&amp;TEXT(I26,"0.00")&amp;", "&amp;TEXT(J26,"0.00")&amp;")"</f>
        <v>0.99 (0.98, 1.00)</v>
      </c>
      <c r="H26" s="110">
        <v>0.99246715797680596</v>
      </c>
      <c r="I26">
        <v>0.98107228966896598</v>
      </c>
      <c r="J26">
        <v>1.00199818523935</v>
      </c>
      <c r="K26" s="65" t="str">
        <f t="shared" ref="K26:K46" si="5">TEXT(L26,"0.00")&amp;" ("&amp;TEXT(M26,"0.00")&amp;", "&amp;TEXT(N26,"0.00")&amp;")"</f>
        <v>0.97 (0.96, 0.97)</v>
      </c>
      <c r="L26" s="69">
        <v>0.96599611716203804</v>
      </c>
      <c r="M26" s="6">
        <v>0.96136597321387796</v>
      </c>
      <c r="N26" s="41">
        <v>0.96995409247423103</v>
      </c>
      <c r="P26" s="6"/>
    </row>
    <row r="27" spans="1:16" x14ac:dyDescent="0.3">
      <c r="A27" s="5" t="s">
        <v>12</v>
      </c>
      <c r="B27" s="6" t="s">
        <v>5</v>
      </c>
      <c r="C27" s="29" t="str">
        <f t="shared" si="3"/>
        <v>199.12 (169.88, 222.27)</v>
      </c>
      <c r="D27" s="110">
        <v>199.124213509979</v>
      </c>
      <c r="E27">
        <v>169.87823101699499</v>
      </c>
      <c r="F27">
        <v>222.27469032999201</v>
      </c>
      <c r="G27" s="65" t="str">
        <f t="shared" si="4"/>
        <v>-49.50 (-147.64, 61.13)</v>
      </c>
      <c r="H27" s="110">
        <v>-49.499999999999702</v>
      </c>
      <c r="I27">
        <v>-147.642103494114</v>
      </c>
      <c r="J27">
        <v>61.134320947876802</v>
      </c>
      <c r="K27" s="65" t="str">
        <f t="shared" si="5"/>
        <v>81.00 (23.61, 162.26)</v>
      </c>
      <c r="L27" s="69">
        <v>81.000000000000298</v>
      </c>
      <c r="M27" s="6">
        <v>23.614145943347602</v>
      </c>
      <c r="N27" s="41">
        <v>162.25622419798299</v>
      </c>
      <c r="P27" s="6"/>
    </row>
    <row r="28" spans="1:16" x14ac:dyDescent="0.3">
      <c r="A28" s="5"/>
      <c r="B28" s="6" t="s">
        <v>6</v>
      </c>
      <c r="C28" s="23" t="str">
        <f t="shared" si="3"/>
        <v>0.85 (0.83, 0.86)</v>
      </c>
      <c r="D28" s="110">
        <v>0.84641198195435097</v>
      </c>
      <c r="E28">
        <v>0.83323323628836898</v>
      </c>
      <c r="F28">
        <v>0.86378689616162696</v>
      </c>
      <c r="G28" s="65" t="str">
        <f t="shared" si="4"/>
        <v>1.00 (0.94, 1.06)</v>
      </c>
      <c r="H28" s="110">
        <v>1</v>
      </c>
      <c r="I28">
        <v>0.936791592235376</v>
      </c>
      <c r="J28">
        <v>1.05867446295971</v>
      </c>
      <c r="K28" s="65" t="str">
        <f t="shared" si="5"/>
        <v>1.00 (0.96, 1.03)</v>
      </c>
      <c r="L28" s="69">
        <v>1</v>
      </c>
      <c r="M28" s="6">
        <v>0.95559373780851398</v>
      </c>
      <c r="N28" s="41">
        <v>1.0326000287077299</v>
      </c>
      <c r="P28" s="6"/>
    </row>
    <row r="29" spans="1:16" x14ac:dyDescent="0.3">
      <c r="A29" s="5" t="s">
        <v>14</v>
      </c>
      <c r="B29" s="6" t="s">
        <v>5</v>
      </c>
      <c r="C29" s="24" t="str">
        <f t="shared" si="3"/>
        <v>0.07 (-0.45, 0.43)</v>
      </c>
      <c r="D29" s="110">
        <v>6.5663140369791595E-2</v>
      </c>
      <c r="E29">
        <v>-0.45397836218216903</v>
      </c>
      <c r="F29">
        <v>0.43174715504969302</v>
      </c>
      <c r="G29" s="65" t="str">
        <f>"*"&amp;TEXT(H29,"0.00")&amp;" ("&amp;TEXT(I29,"0.00")&amp;", "&amp;TEXT(J29,"0.00")&amp;")"</f>
        <v>*-0.82 (0.00, 0.00)</v>
      </c>
      <c r="H29" s="110">
        <v>-0.81886354975232101</v>
      </c>
      <c r="I29" s="39"/>
      <c r="J29" s="39"/>
      <c r="K29" s="65" t="str">
        <f t="shared" si="5"/>
        <v>4.00 (2.90, 4.00)</v>
      </c>
      <c r="L29" s="69">
        <v>4</v>
      </c>
      <c r="M29" s="6">
        <v>2.9</v>
      </c>
      <c r="N29" s="41">
        <v>4</v>
      </c>
      <c r="P29" s="6"/>
    </row>
    <row r="30" spans="1:16" x14ac:dyDescent="0.3">
      <c r="A30" s="5"/>
      <c r="B30" s="6" t="s">
        <v>6</v>
      </c>
      <c r="C30" s="24" t="str">
        <f t="shared" si="3"/>
        <v>1.03 (0.96, 1.11)</v>
      </c>
      <c r="D30" s="110">
        <v>1.0281615456102899</v>
      </c>
      <c r="E30">
        <v>0.95888242550217295</v>
      </c>
      <c r="F30">
        <v>1.11242027972857</v>
      </c>
      <c r="G30" s="65" t="str">
        <f>"*"&amp;TEXT(H30,"0.00")&amp;" ("&amp;TEXT(I30,"0.00")&amp;", "&amp;TEXT(J30,"0.00")&amp;")"</f>
        <v>*1.07 (0.99, 1.17)</v>
      </c>
      <c r="H30" s="110">
        <v>1.07284583473953</v>
      </c>
      <c r="I30">
        <v>0.98717802038923896</v>
      </c>
      <c r="J30">
        <v>1.1659479459076001</v>
      </c>
      <c r="K30" s="65" t="str">
        <f t="shared" si="5"/>
        <v>1.00 (1.00, 1.20)</v>
      </c>
      <c r="L30" s="69">
        <v>1</v>
      </c>
      <c r="M30" s="6">
        <v>1</v>
      </c>
      <c r="N30" s="41">
        <v>1.2</v>
      </c>
      <c r="P30" s="6"/>
    </row>
    <row r="31" spans="1:16" x14ac:dyDescent="0.3">
      <c r="A31" s="5" t="s">
        <v>15</v>
      </c>
      <c r="B31" s="6" t="s">
        <v>5</v>
      </c>
      <c r="C31" s="24" t="str">
        <f t="shared" si="3"/>
        <v>-54.14 (-111.57, 8.78)</v>
      </c>
      <c r="D31" s="110">
        <v>-54.141612689190403</v>
      </c>
      <c r="E31">
        <v>-111.568264744074</v>
      </c>
      <c r="F31">
        <v>8.7774248764394507</v>
      </c>
      <c r="G31" s="65" t="str">
        <f t="shared" si="4"/>
        <v>-54.49 (-83.13, -23.11)</v>
      </c>
      <c r="H31" s="110">
        <v>-54.4887517730117</v>
      </c>
      <c r="I31">
        <v>-83.128655615936395</v>
      </c>
      <c r="J31">
        <v>-23.1063878185169</v>
      </c>
      <c r="K31" s="65" t="str">
        <f t="shared" si="5"/>
        <v>153.67 (114.19, 204.51)</v>
      </c>
      <c r="L31" s="69">
        <v>153.66968617490301</v>
      </c>
      <c r="M31" s="6">
        <v>114.187083220533</v>
      </c>
      <c r="N31" s="41">
        <v>204.50907135055499</v>
      </c>
      <c r="P31" s="6"/>
    </row>
    <row r="32" spans="1:16" x14ac:dyDescent="0.3">
      <c r="A32" s="5"/>
      <c r="B32" s="6" t="s">
        <v>6</v>
      </c>
      <c r="C32" s="24" t="str">
        <f t="shared" si="3"/>
        <v>1.01 (1.00, 1.02)</v>
      </c>
      <c r="D32" s="110">
        <v>1.01176431656733</v>
      </c>
      <c r="E32">
        <v>0.99921664010701206</v>
      </c>
      <c r="F32">
        <v>1.02383790636122</v>
      </c>
      <c r="G32" s="65" t="str">
        <f t="shared" si="4"/>
        <v>1.00 (0.99, 1.00)</v>
      </c>
      <c r="H32" s="110">
        <v>0.99854150519864304</v>
      </c>
      <c r="I32">
        <v>0.99200598684811303</v>
      </c>
      <c r="J32">
        <v>1.0046145846027299</v>
      </c>
      <c r="K32" s="65" t="str">
        <f t="shared" si="5"/>
        <v>0.97 (0.96, 0.98)</v>
      </c>
      <c r="L32" s="69">
        <v>0.97027151058299199</v>
      </c>
      <c r="M32" s="6">
        <v>0.95903669508080402</v>
      </c>
      <c r="N32" s="41">
        <v>0.97666002001219798</v>
      </c>
      <c r="P32" s="6"/>
    </row>
    <row r="33" spans="1:16" x14ac:dyDescent="0.3">
      <c r="A33" s="5" t="s">
        <v>16</v>
      </c>
      <c r="B33" s="6" t="s">
        <v>5</v>
      </c>
      <c r="C33" s="24" t="str">
        <f t="shared" si="3"/>
        <v>-1.49 (-2.35, -0.50)</v>
      </c>
      <c r="D33" s="110">
        <v>-1.4900173168175801</v>
      </c>
      <c r="E33">
        <v>-2.3529347931630999</v>
      </c>
      <c r="F33">
        <v>-0.49781654207329901</v>
      </c>
      <c r="G33" s="65" t="str">
        <f>"*"&amp;TEXT(H33,"0.00")&amp;" ("&amp;TEXT(I33,"0.00")&amp;", "&amp;TEXT(J33,"0.00")&amp;")"</f>
        <v>*-1.60 (0.00, 0.00)</v>
      </c>
      <c r="H33" s="110">
        <v>-1.60209865942634</v>
      </c>
      <c r="I33" s="39"/>
      <c r="J33" s="39"/>
      <c r="K33" s="65" t="str">
        <f>"*"&amp;TEXT(L33,"0.00")&amp;" ("&amp;TEXT(M33,"0.00")&amp;", "&amp;TEXT(N33,"0.00")&amp;")"</f>
        <v>*1.63 (0.00, 0.00)</v>
      </c>
      <c r="L33" s="69">
        <v>1.6348286017449201</v>
      </c>
      <c r="M33" s="62"/>
      <c r="N33" s="63"/>
      <c r="P33" s="6"/>
    </row>
    <row r="34" spans="1:16" x14ac:dyDescent="0.3">
      <c r="A34" s="5"/>
      <c r="B34" s="6" t="s">
        <v>6</v>
      </c>
      <c r="C34" s="24" t="str">
        <f t="shared" si="3"/>
        <v>1.04 (0.98, 1.08)</v>
      </c>
      <c r="D34" s="110">
        <v>1.0386739331085399</v>
      </c>
      <c r="E34">
        <v>0.98428062897875501</v>
      </c>
      <c r="F34">
        <v>1.0838475245438799</v>
      </c>
      <c r="G34" s="65" t="str">
        <f>"*"&amp;TEXT(H34,"0.00")&amp;" ("&amp;TEXT(I34,"0.00")&amp;", "&amp;TEXT(J34,"0.00")&amp;")"</f>
        <v>*1.05 (0.97, 1.15)</v>
      </c>
      <c r="H34" s="110">
        <v>1.0547594895861401</v>
      </c>
      <c r="I34">
        <v>0.96812450958630003</v>
      </c>
      <c r="J34">
        <v>1.1491472118058601</v>
      </c>
      <c r="K34" s="65" t="str">
        <f>"*"&amp;TEXT(L34,"0.00")&amp;" ("&amp;TEXT(M34,"0.00")&amp;", "&amp;TEXT(N34,"0.00")&amp;")"</f>
        <v>*0.86 (0.79, 0.93)</v>
      </c>
      <c r="L34" s="69">
        <v>0.85602029498661603</v>
      </c>
      <c r="M34" s="6">
        <v>0.79073995832847799</v>
      </c>
      <c r="N34" s="41">
        <v>0.92668991583270399</v>
      </c>
      <c r="P34" s="6"/>
    </row>
    <row r="35" spans="1:16" x14ac:dyDescent="0.3">
      <c r="A35" s="5" t="s">
        <v>17</v>
      </c>
      <c r="B35" s="6" t="s">
        <v>5</v>
      </c>
      <c r="C35" s="24" t="str">
        <f t="shared" si="3"/>
        <v>1.44 (1.27, 1.67)</v>
      </c>
      <c r="D35" s="110">
        <v>1.43585116810596</v>
      </c>
      <c r="E35">
        <v>1.2681615382892999</v>
      </c>
      <c r="F35">
        <v>1.66817115853961</v>
      </c>
      <c r="G35" s="65" t="str">
        <f t="shared" si="4"/>
        <v>2.01 (1.43, 2.98)</v>
      </c>
      <c r="H35" s="110">
        <v>2.01427079466644</v>
      </c>
      <c r="I35">
        <v>1.4316931094958301</v>
      </c>
      <c r="J35">
        <v>2.98058052753235</v>
      </c>
      <c r="K35" s="65" t="str">
        <f t="shared" si="5"/>
        <v>16.14 (14.89, 18.09)</v>
      </c>
      <c r="L35" s="69">
        <v>16.142180115729399</v>
      </c>
      <c r="M35" s="6">
        <v>14.8901437138107</v>
      </c>
      <c r="N35" s="41">
        <v>18.086860108052502</v>
      </c>
      <c r="P35" s="6"/>
    </row>
    <row r="36" spans="1:16" x14ac:dyDescent="0.3">
      <c r="A36" s="5"/>
      <c r="B36" s="6" t="s">
        <v>6</v>
      </c>
      <c r="C36" s="24" t="str">
        <f t="shared" si="3"/>
        <v>1.12 (1.09, 1.15)</v>
      </c>
      <c r="D36" s="110">
        <v>1.1194120610801199</v>
      </c>
      <c r="E36">
        <v>1.088283239076</v>
      </c>
      <c r="F36">
        <v>1.1471774917298401</v>
      </c>
      <c r="G36" s="65" t="str">
        <f t="shared" si="4"/>
        <v>1.36 (1.23, 1.47)</v>
      </c>
      <c r="H36" s="110">
        <v>1.3623729769106201</v>
      </c>
      <c r="I36">
        <v>1.22970488971172</v>
      </c>
      <c r="J36">
        <v>1.4712489707347101</v>
      </c>
      <c r="K36" s="65" t="str">
        <f t="shared" si="5"/>
        <v>0.98 (0.80, 1.18)</v>
      </c>
      <c r="L36" s="69">
        <v>0.98211570871328002</v>
      </c>
      <c r="M36" s="6">
        <v>0.79621947609717703</v>
      </c>
      <c r="N36" s="41">
        <v>1.1837643629985599</v>
      </c>
      <c r="P36" s="6"/>
    </row>
    <row r="37" spans="1:16" x14ac:dyDescent="0.3">
      <c r="A37" s="5" t="s">
        <v>19</v>
      </c>
      <c r="B37" s="6" t="s">
        <v>5</v>
      </c>
      <c r="C37" s="24" t="str">
        <f t="shared" si="3"/>
        <v>0.41 (0.34, 0.53)</v>
      </c>
      <c r="D37" s="110">
        <v>0.40982711240132902</v>
      </c>
      <c r="E37">
        <v>0.33526869459542002</v>
      </c>
      <c r="F37">
        <v>0.53309341503438701</v>
      </c>
      <c r="G37" s="65" t="str">
        <f t="shared" si="4"/>
        <v>0.20 (-0.02, 0.41)</v>
      </c>
      <c r="H37" s="110">
        <v>0.19615384615384701</v>
      </c>
      <c r="I37">
        <v>-1.5789473684210398E-2</v>
      </c>
      <c r="J37">
        <v>0.40955149140024</v>
      </c>
      <c r="K37" s="65" t="str">
        <f t="shared" si="5"/>
        <v>2.60 (2.14, 3.20)</v>
      </c>
      <c r="L37" s="69">
        <v>2.6</v>
      </c>
      <c r="M37" s="6">
        <v>2.1447050999671502</v>
      </c>
      <c r="N37" s="41">
        <v>3.2</v>
      </c>
      <c r="P37" s="6"/>
    </row>
    <row r="38" spans="1:16" x14ac:dyDescent="0.3">
      <c r="A38" s="5"/>
      <c r="B38" s="6" t="s">
        <v>6</v>
      </c>
      <c r="C38" s="24" t="str">
        <f t="shared" si="3"/>
        <v>1.37 (1.31, 1.41)</v>
      </c>
      <c r="D38" s="110">
        <v>1.36787832269271</v>
      </c>
      <c r="E38">
        <v>1.30969885274298</v>
      </c>
      <c r="F38">
        <v>1.4074738163609599</v>
      </c>
      <c r="G38" s="65" t="str">
        <f t="shared" si="4"/>
        <v>1.38 (1.24, 1.47)</v>
      </c>
      <c r="H38" s="110">
        <v>1.3846153846153799</v>
      </c>
      <c r="I38">
        <v>1.24403031787485</v>
      </c>
      <c r="J38">
        <v>1.4736842105263199</v>
      </c>
      <c r="K38" s="65" t="str">
        <f t="shared" si="5"/>
        <v>1.21 (1.00, 1.39)</v>
      </c>
      <c r="L38" s="69">
        <v>1.2105263157894699</v>
      </c>
      <c r="M38" s="6">
        <v>1</v>
      </c>
      <c r="N38" s="41">
        <v>1.39227965626026</v>
      </c>
      <c r="P38" s="6"/>
    </row>
    <row r="39" spans="1:16" x14ac:dyDescent="0.3">
      <c r="A39" s="5" t="s">
        <v>20</v>
      </c>
      <c r="B39" s="6" t="s">
        <v>5</v>
      </c>
      <c r="C39" s="24" t="str">
        <f t="shared" si="3"/>
        <v>18.67 (17.17, 21.38)</v>
      </c>
      <c r="D39" s="110">
        <v>18.666083463850999</v>
      </c>
      <c r="E39">
        <v>17.174042050729501</v>
      </c>
      <c r="F39">
        <v>21.378605415818001</v>
      </c>
      <c r="G39" s="65" t="str">
        <f t="shared" si="4"/>
        <v>58.99 (53.76, 68.83)</v>
      </c>
      <c r="H39" s="110">
        <v>58.985863256368603</v>
      </c>
      <c r="I39">
        <v>53.757134517854098</v>
      </c>
      <c r="J39">
        <v>68.830664595289903</v>
      </c>
      <c r="K39" s="65" t="str">
        <f t="shared" si="5"/>
        <v>276.25 (251.40, 288.39)</v>
      </c>
      <c r="L39" s="69">
        <v>276.24885952596998</v>
      </c>
      <c r="M39" s="6">
        <v>251.39614538686899</v>
      </c>
      <c r="N39" s="41">
        <v>288.38898210196299</v>
      </c>
      <c r="P39" s="6"/>
    </row>
    <row r="40" spans="1:16" x14ac:dyDescent="0.3">
      <c r="A40" s="5"/>
      <c r="B40" s="6" t="s">
        <v>6</v>
      </c>
      <c r="C40" s="24" t="str">
        <f t="shared" si="3"/>
        <v>1.03 (1.01, 1.04)</v>
      </c>
      <c r="D40" s="110">
        <v>1.02583185389362</v>
      </c>
      <c r="E40">
        <v>1.0070989487639901</v>
      </c>
      <c r="F40">
        <v>1.04074204359797</v>
      </c>
      <c r="G40" s="65" t="str">
        <f t="shared" si="4"/>
        <v>1.33 (1.25, 1.38)</v>
      </c>
      <c r="H40" s="110">
        <v>1.3316664391150701</v>
      </c>
      <c r="I40">
        <v>1.25450676126781</v>
      </c>
      <c r="J40">
        <v>1.3766234914896101</v>
      </c>
      <c r="K40" s="65" t="str">
        <f t="shared" si="5"/>
        <v>0.68 (0.60, 0.86)</v>
      </c>
      <c r="L40" s="69">
        <v>0.67880000280408204</v>
      </c>
      <c r="M40" s="6">
        <v>0.60370563780905195</v>
      </c>
      <c r="N40" s="41">
        <v>0.86397518629428305</v>
      </c>
      <c r="P40" s="6"/>
    </row>
    <row r="41" spans="1:16" x14ac:dyDescent="0.3">
      <c r="A41" s="5" t="s">
        <v>21</v>
      </c>
      <c r="B41" s="6" t="s">
        <v>5</v>
      </c>
      <c r="C41" s="24" t="str">
        <f t="shared" si="3"/>
        <v>-20.88 (-35.41, -14.53)</v>
      </c>
      <c r="D41" s="110">
        <v>-20.881557194215901</v>
      </c>
      <c r="E41">
        <v>-35.408005484146699</v>
      </c>
      <c r="F41">
        <v>-14.525723251735201</v>
      </c>
      <c r="G41" s="65" t="str">
        <f t="shared" si="4"/>
        <v>-87.78 (-97.51, -74.09)</v>
      </c>
      <c r="H41" s="110">
        <v>-87.780069690044797</v>
      </c>
      <c r="I41">
        <v>-97.5142545009153</v>
      </c>
      <c r="J41">
        <v>-74.092137286308997</v>
      </c>
      <c r="K41" s="65" t="str">
        <f t="shared" si="5"/>
        <v>-35.45 (-86.48, -5.05)</v>
      </c>
      <c r="L41" s="69">
        <v>-35.453913779672902</v>
      </c>
      <c r="M41" s="6">
        <v>-86.482827304351503</v>
      </c>
      <c r="N41" s="41">
        <v>-5.0526376679021903</v>
      </c>
      <c r="P41" s="6"/>
    </row>
    <row r="42" spans="1:16" x14ac:dyDescent="0.3">
      <c r="A42" s="5"/>
      <c r="B42" s="6" t="s">
        <v>6</v>
      </c>
      <c r="C42" s="24" t="str">
        <f t="shared" si="3"/>
        <v>1.17 (1.15, 1.22)</v>
      </c>
      <c r="D42" s="110">
        <v>1.1710366499696101</v>
      </c>
      <c r="E42">
        <v>1.1485019004450601</v>
      </c>
      <c r="F42">
        <v>1.22290129671968</v>
      </c>
      <c r="G42" s="65" t="str">
        <f t="shared" si="4"/>
        <v>1.35 (1.29, 1.38)</v>
      </c>
      <c r="H42" s="110">
        <v>1.3450375876526901</v>
      </c>
      <c r="I42">
        <v>1.29124694516629</v>
      </c>
      <c r="J42">
        <v>1.38049264068809</v>
      </c>
      <c r="K42" s="65" t="str">
        <f t="shared" si="5"/>
        <v>1.06 (0.94, 1.25)</v>
      </c>
      <c r="L42" s="69">
        <v>1.0638759966633</v>
      </c>
      <c r="M42" s="6">
        <v>0.94021817233232496</v>
      </c>
      <c r="N42" s="41">
        <v>1.2482042614734401</v>
      </c>
      <c r="P42" s="6"/>
    </row>
    <row r="43" spans="1:16" x14ac:dyDescent="0.3">
      <c r="A43" s="5" t="s">
        <v>23</v>
      </c>
      <c r="B43" s="6" t="s">
        <v>5</v>
      </c>
      <c r="C43" s="24" t="str">
        <f t="shared" si="3"/>
        <v>-0.15 (-0.18, -0.13)</v>
      </c>
      <c r="D43" s="110">
        <v>-0.147309341916773</v>
      </c>
      <c r="E43">
        <v>-0.17722180576361601</v>
      </c>
      <c r="F43">
        <v>-0.12673498476811401</v>
      </c>
      <c r="G43" s="65" t="str">
        <f t="shared" si="4"/>
        <v>-0.44 (-0.54, -0.31)</v>
      </c>
      <c r="H43" s="110">
        <v>-0.43529687500000003</v>
      </c>
      <c r="I43">
        <v>-0.54300000000000004</v>
      </c>
      <c r="J43">
        <v>-0.30986585365853297</v>
      </c>
      <c r="K43" s="65" t="str">
        <f t="shared" si="5"/>
        <v>-0.31 (-0.51, -0.14)</v>
      </c>
      <c r="L43" s="69">
        <v>-0.31038081910146598</v>
      </c>
      <c r="M43" s="6">
        <v>-0.51103476143486903</v>
      </c>
      <c r="N43" s="41">
        <v>-0.136800967441325</v>
      </c>
      <c r="P43" s="6"/>
    </row>
    <row r="44" spans="1:16" x14ac:dyDescent="0.3">
      <c r="A44" s="5"/>
      <c r="B44" s="6" t="s">
        <v>6</v>
      </c>
      <c r="C44" s="24" t="str">
        <f t="shared" si="3"/>
        <v>1.13 (1.10, 1.16)</v>
      </c>
      <c r="D44" s="110">
        <v>1.1265684121203601</v>
      </c>
      <c r="E44">
        <v>1.1038366618015001</v>
      </c>
      <c r="F44">
        <v>1.15944942663883</v>
      </c>
      <c r="G44" s="65" t="str">
        <f t="shared" si="4"/>
        <v>1.41 (1.27, 1.52)</v>
      </c>
      <c r="H44" s="110">
        <v>1.40625</v>
      </c>
      <c r="I44">
        <v>1.26829268292683</v>
      </c>
      <c r="J44">
        <v>1.52380952380952</v>
      </c>
      <c r="K44" s="65" t="str">
        <f t="shared" si="5"/>
        <v>1.07 (0.87, 1.29)</v>
      </c>
      <c r="L44" s="69">
        <v>1.06904479089029</v>
      </c>
      <c r="M44" s="6">
        <v>0.866166532609977</v>
      </c>
      <c r="N44" s="41">
        <v>1.2887789982551501</v>
      </c>
      <c r="P44" s="6"/>
    </row>
    <row r="45" spans="1:16" x14ac:dyDescent="0.3">
      <c r="A45" s="5" t="s">
        <v>22</v>
      </c>
      <c r="B45" s="6" t="s">
        <v>5</v>
      </c>
      <c r="C45" s="24" t="str">
        <f t="shared" si="3"/>
        <v>-0.15 (-0.19, -0.12)</v>
      </c>
      <c r="D45" s="110">
        <v>-0.15123081164972599</v>
      </c>
      <c r="E45">
        <v>-0.19467034431305799</v>
      </c>
      <c r="F45">
        <v>-0.124255368438015</v>
      </c>
      <c r="G45" s="65" t="str">
        <f t="shared" si="4"/>
        <v>-0.31 (-0.39, -0.21)</v>
      </c>
      <c r="H45" s="110">
        <v>-0.31336245368576099</v>
      </c>
      <c r="I45">
        <v>-0.39154827102247602</v>
      </c>
      <c r="J45">
        <v>-0.20535135135134999</v>
      </c>
      <c r="K45" s="65" t="str">
        <f t="shared" si="5"/>
        <v>-0.25 (-0.38, -0.09)</v>
      </c>
      <c r="L45" s="69">
        <v>-0.25225851885043399</v>
      </c>
      <c r="M45" s="6">
        <v>-0.376870751770641</v>
      </c>
      <c r="N45" s="41">
        <v>-9.1484975524142406E-2</v>
      </c>
      <c r="P45" s="6"/>
    </row>
    <row r="46" spans="1:16" ht="15" thickBot="1" x14ac:dyDescent="0.35">
      <c r="A46" s="9"/>
      <c r="B46" s="10" t="s">
        <v>6</v>
      </c>
      <c r="C46" s="26" t="str">
        <f t="shared" si="3"/>
        <v>1.14 (1.11, 1.18)</v>
      </c>
      <c r="D46" s="109">
        <v>1.1377910794044901</v>
      </c>
      <c r="E46" s="10">
        <v>1.1079433796868901</v>
      </c>
      <c r="F46" s="10">
        <v>1.1832444707851</v>
      </c>
      <c r="G46" s="67" t="str">
        <f t="shared" si="4"/>
        <v>1.31 (1.19, 1.39)</v>
      </c>
      <c r="H46" s="109">
        <v>1.3060187170892901</v>
      </c>
      <c r="I46" s="10">
        <v>1.1891891891891899</v>
      </c>
      <c r="J46" s="10">
        <v>1.3897565872084801</v>
      </c>
      <c r="K46" s="67" t="str">
        <f t="shared" si="5"/>
        <v>1.16 (0.98, 1.30)</v>
      </c>
      <c r="L46" s="109">
        <v>1.1582989832646999</v>
      </c>
      <c r="M46" s="10">
        <v>0.97801124002720297</v>
      </c>
      <c r="N46" s="42">
        <v>1.2953226097041299</v>
      </c>
      <c r="P46" s="6"/>
    </row>
    <row r="47" spans="1:16" ht="78.599999999999994" thickBot="1" x14ac:dyDescent="0.35">
      <c r="A47" t="s">
        <v>2</v>
      </c>
      <c r="B47" s="1" t="s">
        <v>40</v>
      </c>
      <c r="C47" s="64" t="s">
        <v>43</v>
      </c>
      <c r="D47" s="64" t="s">
        <v>91</v>
      </c>
      <c r="E47" s="64" t="s">
        <v>92</v>
      </c>
      <c r="F47" s="64" t="s">
        <v>93</v>
      </c>
      <c r="G47" s="1" t="s">
        <v>38</v>
      </c>
      <c r="H47" s="1" t="s">
        <v>84</v>
      </c>
      <c r="I47" s="1" t="s">
        <v>82</v>
      </c>
      <c r="J47" s="1" t="s">
        <v>83</v>
      </c>
      <c r="K47" s="1" t="s">
        <v>39</v>
      </c>
      <c r="L47" s="1" t="s">
        <v>84</v>
      </c>
      <c r="M47" s="1" t="s">
        <v>82</v>
      </c>
      <c r="N47" s="1" t="s">
        <v>83</v>
      </c>
    </row>
    <row r="48" spans="1:16" x14ac:dyDescent="0.3">
      <c r="A48" s="3" t="s">
        <v>0</v>
      </c>
      <c r="B48" s="4" t="s">
        <v>5</v>
      </c>
      <c r="C48" s="13" t="str">
        <f>TEXT(D48,"0.00")&amp;" ("&amp;TEXT(E48,"0.00")&amp;", "&amp;TEXT(F48,"0.00")&amp;")"</f>
        <v>-76.23 (-98.79, -44.40)</v>
      </c>
      <c r="D48" s="111">
        <v>-76.232851293394305</v>
      </c>
      <c r="E48" s="4">
        <v>-98.792000834723694</v>
      </c>
      <c r="F48" s="4">
        <v>-44.395490589328801</v>
      </c>
      <c r="G48" s="66" t="str">
        <f>TEXT(H48,"0.00")&amp;" ("&amp;TEXT(I48,"0.00")&amp;", "&amp;TEXT(J48,"0.00")&amp;")"</f>
        <v>-8.62 (-32.94, 16.19)</v>
      </c>
      <c r="H48" s="111">
        <v>-8.6248222706992692</v>
      </c>
      <c r="I48" s="4">
        <v>-32.937282840972102</v>
      </c>
      <c r="J48" s="4">
        <v>16.187900504758101</v>
      </c>
      <c r="K48" s="66" t="str">
        <f>TEXT(L48,"0.00")&amp;" ("&amp;TEXT(M48,"0.00")&amp;", "&amp;TEXT(N48,"0.00")&amp;")"</f>
        <v>-22.03 (-33.98, -9.83)</v>
      </c>
      <c r="L48" s="111">
        <v>-22.029924088586899</v>
      </c>
      <c r="M48" s="4">
        <v>-33.978882574278003</v>
      </c>
      <c r="N48" s="60">
        <v>-9.83272810385483</v>
      </c>
      <c r="P48" s="6"/>
    </row>
    <row r="49" spans="1:16" x14ac:dyDescent="0.3">
      <c r="A49" s="5"/>
      <c r="B49" s="6" t="s">
        <v>6</v>
      </c>
      <c r="C49" s="17" t="str">
        <f t="shared" ref="C49:C69" si="6">TEXT(D49,"0.00")&amp;" ("&amp;TEXT(E49,"0.00")&amp;", "&amp;TEXT(F49,"0.00")&amp;")"</f>
        <v>1.08 (1.06, 1.08)</v>
      </c>
      <c r="D49" s="69">
        <v>1.0758263623003299</v>
      </c>
      <c r="E49" s="6">
        <v>1.06478381838361</v>
      </c>
      <c r="F49" s="6">
        <v>1.0833085156482101</v>
      </c>
      <c r="G49" s="65" t="str">
        <f t="shared" ref="G49:G69" si="7">TEXT(H49,"0.00")&amp;" ("&amp;TEXT(I49,"0.00")&amp;", "&amp;TEXT(J49,"0.00")&amp;")"</f>
        <v>1.03 (1.02, 1.04)</v>
      </c>
      <c r="H49" s="69">
        <v>1.02728430596739</v>
      </c>
      <c r="I49" s="69">
        <v>1.0170478356606101</v>
      </c>
      <c r="J49" s="69">
        <v>1.03721090882046</v>
      </c>
      <c r="K49" s="65" t="str">
        <f t="shared" ref="K49:K69" si="8">TEXT(L49,"0.00")&amp;" ("&amp;TEXT(M49,"0.00")&amp;", "&amp;TEXT(N49,"0.00")&amp;")"</f>
        <v>1.04 (1.03, 1.04)</v>
      </c>
      <c r="L49" s="69">
        <v>1.0352008483614401</v>
      </c>
      <c r="M49" s="6">
        <v>1.03097662843932</v>
      </c>
      <c r="N49" s="41">
        <v>1.0401865968450801</v>
      </c>
      <c r="P49" s="6"/>
    </row>
    <row r="50" spans="1:16" x14ac:dyDescent="0.3">
      <c r="A50" s="5" t="s">
        <v>12</v>
      </c>
      <c r="B50" s="6" t="s">
        <v>5</v>
      </c>
      <c r="C50" s="16" t="str">
        <f t="shared" si="6"/>
        <v>127.80 (17.90, 205.22)</v>
      </c>
      <c r="D50" s="69">
        <v>127.798746181909</v>
      </c>
      <c r="E50" s="6">
        <v>17.895499415628102</v>
      </c>
      <c r="F50" s="6">
        <v>205.21812527536099</v>
      </c>
      <c r="G50" s="65" t="str">
        <f t="shared" si="7"/>
        <v>-188.12 (-393.10, -18.31)</v>
      </c>
      <c r="H50" s="69">
        <v>-188.11666874476799</v>
      </c>
      <c r="I50" s="6">
        <v>-393.09521931289697</v>
      </c>
      <c r="J50" s="6">
        <v>-18.305845450302598</v>
      </c>
      <c r="K50" s="65" t="str">
        <f t="shared" si="8"/>
        <v>-81.00 (-169.80, -22.87)</v>
      </c>
      <c r="L50" s="69">
        <v>-80.999999999999702</v>
      </c>
      <c r="M50" s="69">
        <v>-169.796240576136</v>
      </c>
      <c r="N50" s="41">
        <v>-22.868628013597899</v>
      </c>
      <c r="P50" s="6"/>
    </row>
    <row r="51" spans="1:16" x14ac:dyDescent="0.3">
      <c r="A51" s="5"/>
      <c r="B51" s="6" t="s">
        <v>6</v>
      </c>
      <c r="C51" s="17" t="str">
        <f t="shared" si="6"/>
        <v>0.85 (0.81, 0.91)</v>
      </c>
      <c r="D51" s="69">
        <v>0.84698629647193102</v>
      </c>
      <c r="E51" s="6">
        <v>0.80557752871032096</v>
      </c>
      <c r="F51" s="6">
        <v>0.90503549948469797</v>
      </c>
      <c r="G51" s="65" t="str">
        <f t="shared" si="7"/>
        <v>1.03 (0.94, 1.14)</v>
      </c>
      <c r="H51" s="69">
        <v>1.0283374519598001</v>
      </c>
      <c r="I51" s="6">
        <v>0.94149790809016998</v>
      </c>
      <c r="J51" s="6">
        <v>1.139301206119</v>
      </c>
      <c r="K51" s="65" t="str">
        <f t="shared" si="8"/>
        <v>1.00 (0.97, 1.05)</v>
      </c>
      <c r="L51" s="69">
        <v>1</v>
      </c>
      <c r="M51" s="6">
        <v>0.96842918090121799</v>
      </c>
      <c r="N51" s="41">
        <v>1.04646981288651</v>
      </c>
      <c r="P51" s="6"/>
    </row>
    <row r="52" spans="1:16" x14ac:dyDescent="0.3">
      <c r="A52" s="5" t="s">
        <v>14</v>
      </c>
      <c r="B52" s="6" t="s">
        <v>5</v>
      </c>
      <c r="C52" s="14" t="str">
        <f t="shared" si="6"/>
        <v>-3.64 (-5.24, -2.58)</v>
      </c>
      <c r="D52" s="69">
        <v>-3.6375963488684602</v>
      </c>
      <c r="E52" s="6">
        <v>-5.2436151770115202</v>
      </c>
      <c r="F52" s="6">
        <v>-2.5783309550028801</v>
      </c>
      <c r="G52" s="65" t="str">
        <f>"*"&amp;TEXT(H52,"0.00")&amp;" ("&amp;TEXT(I52,"0.00")&amp;", "&amp;TEXT(J52,"0.00")&amp;")"</f>
        <v>*-4.63 (0.00, 0.00)</v>
      </c>
      <c r="H52" s="69">
        <v>-4.6266525815249802</v>
      </c>
      <c r="I52" s="62"/>
      <c r="J52" s="62"/>
      <c r="K52" s="65" t="str">
        <f t="shared" si="8"/>
        <v>-3.55 (0.00, 0.00)</v>
      </c>
      <c r="L52" s="69">
        <v>-3.54924156712331</v>
      </c>
      <c r="M52" s="62"/>
      <c r="N52" s="63"/>
      <c r="P52" s="6"/>
    </row>
    <row r="53" spans="1:16" x14ac:dyDescent="0.3">
      <c r="A53" s="5"/>
      <c r="B53" s="6" t="s">
        <v>6</v>
      </c>
      <c r="C53" s="14" t="str">
        <f t="shared" si="6"/>
        <v>0.99 (0.87, 1.15)</v>
      </c>
      <c r="D53" s="69">
        <v>0.99485377964208999</v>
      </c>
      <c r="E53" s="6">
        <v>0.86672521898171695</v>
      </c>
      <c r="F53" s="6">
        <v>1.1543765989186201</v>
      </c>
      <c r="G53" s="65" t="str">
        <f>"*"&amp;TEXT(H53,"0.00")&amp;" ("&amp;TEXT(I53,"0.00")&amp;", "&amp;TEXT(J53,"0.00")&amp;")"</f>
        <v>*1.01 (0.83, 1.23)</v>
      </c>
      <c r="H53" s="69">
        <v>1.01285813010406</v>
      </c>
      <c r="I53" s="6">
        <v>0.834772481730372</v>
      </c>
      <c r="J53" s="6">
        <v>1.22893556528286</v>
      </c>
      <c r="K53" s="65" t="str">
        <f t="shared" si="8"/>
        <v>0.94 (0.82, 1.09)</v>
      </c>
      <c r="L53" s="69">
        <v>0.94408543828663105</v>
      </c>
      <c r="M53" s="6">
        <v>0.81825403507499495</v>
      </c>
      <c r="N53" s="41">
        <v>1.0892672404642301</v>
      </c>
      <c r="P53" s="6"/>
    </row>
    <row r="54" spans="1:16" x14ac:dyDescent="0.3">
      <c r="A54" s="5" t="s">
        <v>15</v>
      </c>
      <c r="B54" s="6" t="s">
        <v>5</v>
      </c>
      <c r="C54" s="16" t="str">
        <f t="shared" si="6"/>
        <v>-226.23 (-360.24, -104.22)</v>
      </c>
      <c r="D54" s="69">
        <v>-226.234799632169</v>
      </c>
      <c r="E54" s="6">
        <v>-360.23970882965801</v>
      </c>
      <c r="F54" s="6">
        <v>-104.219053139061</v>
      </c>
      <c r="G54" s="65" t="str">
        <f t="shared" si="7"/>
        <v>-213.11 (-275.70, -159.09)</v>
      </c>
      <c r="H54" s="69">
        <v>-213.11096589604301</v>
      </c>
      <c r="I54" s="6">
        <v>-275.69654739174098</v>
      </c>
      <c r="J54" s="6">
        <v>-159.09067243932</v>
      </c>
      <c r="K54" s="65" t="str">
        <f t="shared" si="8"/>
        <v>-158.38 (-213.24, -116.92)</v>
      </c>
      <c r="L54" s="69">
        <v>-158.37802563384599</v>
      </c>
      <c r="M54" s="69">
        <v>-213.24426103771</v>
      </c>
      <c r="N54" s="41">
        <v>-116.91589793867701</v>
      </c>
      <c r="P54" s="6"/>
    </row>
    <row r="55" spans="1:16" x14ac:dyDescent="0.3">
      <c r="A55" s="5"/>
      <c r="B55" s="6" t="s">
        <v>6</v>
      </c>
      <c r="C55" s="30" t="str">
        <f t="shared" si="6"/>
        <v>1.05 (1.02, 1.07)</v>
      </c>
      <c r="D55" s="69">
        <v>1.04647238835164</v>
      </c>
      <c r="E55" s="6">
        <v>1.02345644181125</v>
      </c>
      <c r="F55" s="6">
        <v>1.0722251342917599</v>
      </c>
      <c r="G55" s="65" t="str">
        <f t="shared" si="7"/>
        <v>1.03 (1.02, 1.04)</v>
      </c>
      <c r="H55" s="69">
        <v>1.0310975584072</v>
      </c>
      <c r="I55" s="6">
        <v>1.0200507228731901</v>
      </c>
      <c r="J55" s="6">
        <v>1.04307514096869</v>
      </c>
      <c r="K55" s="65" t="str">
        <f t="shared" si="8"/>
        <v>1.03 (1.02, 1.04)</v>
      </c>
      <c r="L55" s="69">
        <v>1.0306393510401499</v>
      </c>
      <c r="M55" s="69">
        <v>1.02389775306612</v>
      </c>
      <c r="N55" s="41">
        <v>1.04271296930483</v>
      </c>
      <c r="P55" s="6"/>
    </row>
    <row r="56" spans="1:16" x14ac:dyDescent="0.3">
      <c r="A56" s="5" t="s">
        <v>16</v>
      </c>
      <c r="B56" s="6" t="s">
        <v>5</v>
      </c>
      <c r="C56" s="16" t="str">
        <f t="shared" si="6"/>
        <v>-3.40 (-5.39, -1.44)</v>
      </c>
      <c r="D56" s="69">
        <v>-3.3956579662567599</v>
      </c>
      <c r="E56" s="6">
        <v>-5.3868219907753003</v>
      </c>
      <c r="F56" s="6">
        <v>-1.4368061808191199</v>
      </c>
      <c r="G56" s="65" t="str">
        <f>"*"&amp;TEXT(H56,"0.00")&amp;" ("&amp;TEXT(I56,"0.00")&amp;", "&amp;TEXT(J56,"0.00")&amp;")"</f>
        <v>*-3.62 (0.00, 0.00)</v>
      </c>
      <c r="H56" s="69">
        <v>-3.6164796170229798</v>
      </c>
      <c r="I56" s="62"/>
      <c r="J56" s="62"/>
      <c r="K56" s="68" t="str">
        <f>"*"&amp;TEXT(L56,"0.00")&amp;" ("&amp;TEXT(M56,"0.00")&amp;", "&amp;TEXT(N56,"0.00")&amp;")"</f>
        <v>*-1.91 (0.00, 0.00)</v>
      </c>
      <c r="L56" s="69">
        <v>-1.9098012177041701</v>
      </c>
      <c r="M56" s="62"/>
      <c r="N56" s="63"/>
      <c r="P56" s="6"/>
    </row>
    <row r="57" spans="1:16" x14ac:dyDescent="0.3">
      <c r="A57" s="5"/>
      <c r="B57" s="6" t="s">
        <v>6</v>
      </c>
      <c r="C57" s="16" t="str">
        <f t="shared" si="6"/>
        <v>1.21 (1.09, 1.33)</v>
      </c>
      <c r="D57" s="69">
        <v>1.20786600902027</v>
      </c>
      <c r="E57" s="6">
        <v>1.09401230710145</v>
      </c>
      <c r="F57" s="6">
        <v>1.33052439964944</v>
      </c>
      <c r="G57" s="65" t="str">
        <f>"*"&amp;TEXT(H57,"0.00")&amp;" ("&amp;TEXT(I57,"0.00")&amp;", "&amp;TEXT(J57,"0.00")&amp;")"</f>
        <v>*1.23 (1.11, 1.36)</v>
      </c>
      <c r="H57" s="69">
        <v>1.23216645185104</v>
      </c>
      <c r="I57" s="6">
        <v>1.11337230564468</v>
      </c>
      <c r="J57" s="6">
        <v>1.3636356476354701</v>
      </c>
      <c r="K57" s="68" t="str">
        <f>"*"&amp;TEXT(L57,"0.00")&amp;" ("&amp;TEXT(M57,"0.00")&amp;", "&amp;TEXT(N57,"0.00")&amp;")"</f>
        <v>*1.17 (1.08, 1.26)</v>
      </c>
      <c r="L57" s="69">
        <v>1.1681966021794301</v>
      </c>
      <c r="M57" s="6">
        <v>1.0791096168359899</v>
      </c>
      <c r="N57" s="41">
        <v>1.26463825366037</v>
      </c>
      <c r="P57" s="6"/>
    </row>
    <row r="58" spans="1:16" x14ac:dyDescent="0.3">
      <c r="A58" s="5" t="s">
        <v>17</v>
      </c>
      <c r="B58" s="6" t="s">
        <v>5</v>
      </c>
      <c r="C58" s="16" t="str">
        <f t="shared" si="6"/>
        <v>-16.88 (-22.88, -13.21)</v>
      </c>
      <c r="D58" s="69">
        <v>-16.877753204645899</v>
      </c>
      <c r="E58" s="6">
        <v>-22.8807486692853</v>
      </c>
      <c r="F58" s="6">
        <v>-13.206372234679</v>
      </c>
      <c r="G58" s="65" t="str">
        <f t="shared" si="7"/>
        <v>-17.95 (-27.45, -13.54)</v>
      </c>
      <c r="H58" s="69">
        <v>-17.950645318305401</v>
      </c>
      <c r="I58" s="6">
        <v>-27.451539769044501</v>
      </c>
      <c r="J58" s="6">
        <v>-13.541632051182701</v>
      </c>
      <c r="K58" s="65" t="str">
        <f t="shared" si="8"/>
        <v>-16.44 (-22.72, -12.58)</v>
      </c>
      <c r="L58" s="69">
        <v>-16.436128627733801</v>
      </c>
      <c r="M58" s="69">
        <v>-22.7159227462116</v>
      </c>
      <c r="N58" s="41">
        <v>-12.5786382655522</v>
      </c>
      <c r="P58" s="6"/>
    </row>
    <row r="59" spans="1:16" x14ac:dyDescent="0.3">
      <c r="A59" s="5"/>
      <c r="B59" s="6" t="s">
        <v>6</v>
      </c>
      <c r="C59" s="16" t="str">
        <f t="shared" si="6"/>
        <v>1.13 (0.97, 1.36)</v>
      </c>
      <c r="D59" s="69">
        <v>1.1339009136881699</v>
      </c>
      <c r="E59" s="6">
        <v>0.96932459462581499</v>
      </c>
      <c r="F59" s="6">
        <v>1.3642902482135899</v>
      </c>
      <c r="G59" s="65" t="str">
        <f t="shared" si="7"/>
        <v>1.26 (1.08, 1.65)</v>
      </c>
      <c r="H59" s="69">
        <v>1.2644894759630301</v>
      </c>
      <c r="I59" s="6">
        <v>1.0816652820473101</v>
      </c>
      <c r="J59" s="6">
        <v>1.64600903084913</v>
      </c>
      <c r="K59" s="65" t="str">
        <f t="shared" si="8"/>
        <v>1.02 (0.84, 1.26)</v>
      </c>
      <c r="L59" s="69">
        <v>1.0182099635797</v>
      </c>
      <c r="M59" s="6">
        <v>0.84476271735950104</v>
      </c>
      <c r="N59" s="41">
        <v>1.2559351159076</v>
      </c>
      <c r="P59" s="6"/>
    </row>
    <row r="60" spans="1:16" x14ac:dyDescent="0.3">
      <c r="A60" s="5" t="s">
        <v>19</v>
      </c>
      <c r="B60" s="6" t="s">
        <v>5</v>
      </c>
      <c r="C60" s="16" t="str">
        <f t="shared" si="6"/>
        <v>-2.52 (-3.47, -1.96)</v>
      </c>
      <c r="D60" s="69">
        <v>-2.5220554758272402</v>
      </c>
      <c r="E60" s="6">
        <v>-3.4733803492545401</v>
      </c>
      <c r="F60" s="6">
        <v>-1.95704597406682</v>
      </c>
      <c r="G60" s="65" t="str">
        <f t="shared" si="7"/>
        <v>-2.44 (-3.92, -1.31)</v>
      </c>
      <c r="H60" s="69">
        <v>-2.4406249999999998</v>
      </c>
      <c r="I60" s="6">
        <v>-3.9166666666666701</v>
      </c>
      <c r="J60" s="6">
        <v>-1.3102941176470599</v>
      </c>
      <c r="K60" s="65" t="str">
        <f t="shared" si="8"/>
        <v>-2.15 (-3.20, -1.54)</v>
      </c>
      <c r="L60" s="69">
        <v>-2.14782608695652</v>
      </c>
      <c r="M60" s="6">
        <v>-3.2</v>
      </c>
      <c r="N60" s="41">
        <v>-1.5404269467873599</v>
      </c>
      <c r="P60" s="6"/>
    </row>
    <row r="61" spans="1:16" x14ac:dyDescent="0.3">
      <c r="A61" s="5"/>
      <c r="B61" s="6" t="s">
        <v>6</v>
      </c>
      <c r="C61" s="16" t="str">
        <f t="shared" si="6"/>
        <v>1.14 (1.02, 1.30)</v>
      </c>
      <c r="D61" s="69">
        <v>1.1360311230525699</v>
      </c>
      <c r="E61" s="6">
        <v>1.0177045626494501</v>
      </c>
      <c r="F61" s="6">
        <v>1.29601522053438</v>
      </c>
      <c r="G61" s="65" t="str">
        <f t="shared" si="7"/>
        <v>1.06 (0.85, 1.33)</v>
      </c>
      <c r="H61" s="69">
        <v>1.0625</v>
      </c>
      <c r="I61" s="6">
        <v>0.85294117647058898</v>
      </c>
      <c r="J61" s="6">
        <v>1.3333333333333299</v>
      </c>
      <c r="K61" s="65" t="str">
        <f t="shared" si="8"/>
        <v>0.83 (0.72, 1.00)</v>
      </c>
      <c r="L61" s="69">
        <v>0.82608695652173902</v>
      </c>
      <c r="M61" s="6">
        <v>0.71824650708899396</v>
      </c>
      <c r="N61" s="41">
        <v>1</v>
      </c>
      <c r="P61" s="6"/>
    </row>
    <row r="62" spans="1:16" x14ac:dyDescent="0.3">
      <c r="A62" s="5" t="s">
        <v>20</v>
      </c>
      <c r="B62" s="6" t="s">
        <v>5</v>
      </c>
      <c r="C62" s="16" t="str">
        <f t="shared" si="6"/>
        <v>-385.41 (-426.59, -260.39)</v>
      </c>
      <c r="D62" s="69">
        <v>-385.407817643079</v>
      </c>
      <c r="E62" s="6">
        <v>-426.59081973239199</v>
      </c>
      <c r="F62" s="6">
        <v>-260.39072870773498</v>
      </c>
      <c r="G62" s="65" t="str">
        <f t="shared" si="7"/>
        <v>-416.31 (-532.85, -303.63)</v>
      </c>
      <c r="H62" s="69">
        <v>-416.31033755274302</v>
      </c>
      <c r="I62" s="6">
        <v>-532.84757489301103</v>
      </c>
      <c r="J62" s="6">
        <v>-303.63142857142901</v>
      </c>
      <c r="K62" s="65" t="str">
        <f t="shared" si="8"/>
        <v>-406.97 (-477.70, -290.98)</v>
      </c>
      <c r="L62" s="69">
        <v>-406.96649732587298</v>
      </c>
      <c r="M62" s="6">
        <v>-477.69801048831403</v>
      </c>
      <c r="N62" s="41">
        <v>-290.97611757247802</v>
      </c>
      <c r="P62" s="6"/>
    </row>
    <row r="63" spans="1:16" x14ac:dyDescent="0.3">
      <c r="A63" s="5"/>
      <c r="B63" s="6" t="s">
        <v>6</v>
      </c>
      <c r="C63" s="14" t="str">
        <f t="shared" si="6"/>
        <v>1.48 (1.13, 1.58)</v>
      </c>
      <c r="D63" s="69">
        <v>1.4794382493417899</v>
      </c>
      <c r="E63" s="6">
        <v>1.1331843419923</v>
      </c>
      <c r="F63" s="6">
        <v>1.5847656204142</v>
      </c>
      <c r="G63" s="65" t="str">
        <f t="shared" si="7"/>
        <v>1.79 (1.47, 2.09)</v>
      </c>
      <c r="H63" s="69">
        <v>1.7932489451476801</v>
      </c>
      <c r="I63" s="6">
        <v>1.4678571428571401</v>
      </c>
      <c r="J63" s="6">
        <v>2.0912981455064199</v>
      </c>
      <c r="K63" s="65" t="str">
        <f t="shared" si="8"/>
        <v>1.47 (1.16, 1.66)</v>
      </c>
      <c r="L63" s="69">
        <v>1.47318797270044</v>
      </c>
      <c r="M63" s="6">
        <v>1.1574406486014299</v>
      </c>
      <c r="N63" s="41">
        <v>1.65643641101177</v>
      </c>
      <c r="P63" s="6"/>
    </row>
    <row r="64" spans="1:16" x14ac:dyDescent="0.3">
      <c r="A64" s="5" t="s">
        <v>21</v>
      </c>
      <c r="B64" s="6" t="s">
        <v>5</v>
      </c>
      <c r="C64" s="14" t="str">
        <f t="shared" si="6"/>
        <v>8.23 (-23.00, 48.76)</v>
      </c>
      <c r="D64" s="69">
        <v>8.2274804654131799</v>
      </c>
      <c r="E64" s="6">
        <v>-23.002774874190202</v>
      </c>
      <c r="F64" s="6">
        <v>48.764352346304797</v>
      </c>
      <c r="G64" s="65" t="str">
        <f t="shared" si="7"/>
        <v>-36.87 (-85.89, 24.00)</v>
      </c>
      <c r="H64" s="69">
        <v>-36.868494119485099</v>
      </c>
      <c r="I64" s="6">
        <v>-85.886661369843196</v>
      </c>
      <c r="J64" s="6">
        <v>23.9999999999817</v>
      </c>
      <c r="K64" s="65" t="str">
        <f t="shared" si="8"/>
        <v>33.33 (5.37, 69.29)</v>
      </c>
      <c r="L64" s="69">
        <v>33.325231409364598</v>
      </c>
      <c r="M64" s="6">
        <v>5.3738991827487403</v>
      </c>
      <c r="N64" s="41">
        <v>69.285797183758106</v>
      </c>
      <c r="P64" s="6"/>
    </row>
    <row r="65" spans="1:16" x14ac:dyDescent="0.3">
      <c r="A65" s="5"/>
      <c r="B65" s="6" t="s">
        <v>6</v>
      </c>
      <c r="C65" s="14" t="str">
        <f t="shared" si="6"/>
        <v>1.15 (0.98, 1.28)</v>
      </c>
      <c r="D65" s="69">
        <v>1.1487752224307799</v>
      </c>
      <c r="E65" s="6">
        <v>0.98103756121098096</v>
      </c>
      <c r="F65" s="6">
        <v>1.2777792604565099</v>
      </c>
      <c r="G65" s="65" t="str">
        <f t="shared" si="7"/>
        <v>1.24 (1.00, 1.45)</v>
      </c>
      <c r="H65" s="69">
        <v>1.24238228502215</v>
      </c>
      <c r="I65" s="6">
        <v>1.0000000000000699</v>
      </c>
      <c r="J65" s="6">
        <v>1.45009074725531</v>
      </c>
      <c r="K65" s="65" t="str">
        <f t="shared" si="8"/>
        <v>0.94 (0.80, 1.06)</v>
      </c>
      <c r="L65" s="69">
        <v>0.93995917112178395</v>
      </c>
      <c r="M65" s="6">
        <v>0.80115092606682003</v>
      </c>
      <c r="N65" s="41">
        <v>1.06358293152256</v>
      </c>
      <c r="P65" s="6"/>
    </row>
    <row r="66" spans="1:16" x14ac:dyDescent="0.3">
      <c r="A66" s="5" t="s">
        <v>23</v>
      </c>
      <c r="B66" s="6" t="s">
        <v>5</v>
      </c>
      <c r="C66" s="14" t="str">
        <f t="shared" si="6"/>
        <v>0.18 (0.05, 0.28)</v>
      </c>
      <c r="D66" s="69">
        <v>0.17982665253117799</v>
      </c>
      <c r="E66" s="6">
        <v>5.2744322853685799E-2</v>
      </c>
      <c r="F66" s="6">
        <v>0.28294860137050798</v>
      </c>
      <c r="G66" s="65" t="str">
        <f t="shared" si="7"/>
        <v>0.06 (-0.18, 0.17)</v>
      </c>
      <c r="H66" s="69">
        <v>5.7763722522002202E-2</v>
      </c>
      <c r="I66" s="6">
        <v>-0.17685541516411701</v>
      </c>
      <c r="J66" s="6">
        <v>0.173345106368123</v>
      </c>
      <c r="K66" s="65" t="str">
        <f t="shared" si="8"/>
        <v>0.29 (0.16, 0.40)</v>
      </c>
      <c r="L66" s="69">
        <v>0.29033471913088399</v>
      </c>
      <c r="M66" s="6">
        <v>0.15793841286976301</v>
      </c>
      <c r="N66" s="41">
        <v>0.39652629514195098</v>
      </c>
      <c r="P66" s="6"/>
    </row>
    <row r="67" spans="1:16" x14ac:dyDescent="0.3">
      <c r="A67" s="5"/>
      <c r="B67" s="6" t="s">
        <v>6</v>
      </c>
      <c r="C67" s="14" t="str">
        <f t="shared" si="6"/>
        <v>1.06 (0.90, 1.26)</v>
      </c>
      <c r="D67" s="69">
        <v>1.0556500550830401</v>
      </c>
      <c r="E67" s="6">
        <v>0.900043980002313</v>
      </c>
      <c r="F67" s="6">
        <v>1.2633009205691399</v>
      </c>
      <c r="G67" s="65" t="str">
        <f t="shared" si="7"/>
        <v>1.20 (1.01, 1.57)</v>
      </c>
      <c r="H67" s="69">
        <v>1.19769854949371</v>
      </c>
      <c r="I67" s="6">
        <v>1.0146713038972399</v>
      </c>
      <c r="J67" s="6">
        <v>1.57047490043946</v>
      </c>
      <c r="K67" s="65" t="str">
        <f t="shared" si="8"/>
        <v>0.94 (0.78, 1.15)</v>
      </c>
      <c r="L67" s="69">
        <v>0.93541450135799498</v>
      </c>
      <c r="M67" s="6">
        <v>0.77592822458612298</v>
      </c>
      <c r="N67" s="41">
        <v>1.15451239727163</v>
      </c>
      <c r="P67" s="6"/>
    </row>
    <row r="68" spans="1:16" x14ac:dyDescent="0.3">
      <c r="A68" s="5" t="s">
        <v>22</v>
      </c>
      <c r="B68" s="6" t="s">
        <v>5</v>
      </c>
      <c r="C68" s="14" t="str">
        <f t="shared" si="6"/>
        <v>0.08 (-0.04, 0.17)</v>
      </c>
      <c r="D68" s="69">
        <v>7.7782614436251493E-2</v>
      </c>
      <c r="E68" s="69">
        <v>-4.2211342979668803E-2</v>
      </c>
      <c r="F68" s="69">
        <v>0.16730897507624101</v>
      </c>
      <c r="G68" s="65" t="str">
        <f t="shared" si="7"/>
        <v>0.04 (-0.15, 0.20)</v>
      </c>
      <c r="H68" s="69">
        <v>4.0884877234710501E-2</v>
      </c>
      <c r="I68" s="6">
        <v>-0.14926623991813201</v>
      </c>
      <c r="J68" s="69">
        <v>0.202065887211858</v>
      </c>
      <c r="K68" s="65" t="str">
        <f t="shared" si="8"/>
        <v>0.22 (0.09, 0.29)</v>
      </c>
      <c r="L68" s="69">
        <v>0.21778359689087901</v>
      </c>
      <c r="M68" s="6">
        <v>9.3541844694543103E-2</v>
      </c>
      <c r="N68" s="41">
        <v>0.290947404876013</v>
      </c>
      <c r="P68" s="6"/>
    </row>
    <row r="69" spans="1:16" ht="15" thickBot="1" x14ac:dyDescent="0.35">
      <c r="A69" s="9"/>
      <c r="B69" s="10" t="s">
        <v>6</v>
      </c>
      <c r="C69" s="31" t="str">
        <f t="shared" si="6"/>
        <v>1.00 (0.89, 1.16)</v>
      </c>
      <c r="D69" s="109">
        <v>1.00326182778616</v>
      </c>
      <c r="E69" s="10">
        <v>0.89476534216153503</v>
      </c>
      <c r="F69" s="10">
        <v>1.15596432074459</v>
      </c>
      <c r="G69" s="67" t="str">
        <f t="shared" si="7"/>
        <v>1.04 (0.84, 1.28)</v>
      </c>
      <c r="H69" s="109">
        <v>1.04258959704705</v>
      </c>
      <c r="I69" s="10">
        <v>0.84454490126360904</v>
      </c>
      <c r="J69" s="10">
        <v>1.2798312175623101</v>
      </c>
      <c r="K69" s="67" t="str">
        <f t="shared" si="8"/>
        <v>0.86 (0.77, 1.02)</v>
      </c>
      <c r="L69" s="109">
        <v>0.86333495448771902</v>
      </c>
      <c r="M69" s="10">
        <v>0.77200844987058004</v>
      </c>
      <c r="N69" s="42">
        <v>1.02248313625944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3BA40-65DB-4199-9766-353EE03F4395}">
  <dimension ref="B2:CV55"/>
  <sheetViews>
    <sheetView zoomScale="60" zoomScaleNormal="60" workbookViewId="0">
      <selection activeCell="CV29" sqref="CV29"/>
    </sheetView>
  </sheetViews>
  <sheetFormatPr defaultRowHeight="14.4" x14ac:dyDescent="0.3"/>
  <sheetData>
    <row r="2" spans="2:100" x14ac:dyDescent="0.3">
      <c r="B2" t="s">
        <v>0</v>
      </c>
      <c r="C2" t="s">
        <v>3</v>
      </c>
      <c r="L2" t="s">
        <v>11</v>
      </c>
      <c r="V2" t="s">
        <v>13</v>
      </c>
      <c r="AF2" t="s">
        <v>15</v>
      </c>
      <c r="AP2" t="s">
        <v>16</v>
      </c>
      <c r="AY2" t="s">
        <v>17</v>
      </c>
      <c r="BI2" t="s">
        <v>18</v>
      </c>
      <c r="BR2" t="s">
        <v>20</v>
      </c>
      <c r="CB2" t="s">
        <v>21</v>
      </c>
      <c r="CL2" t="s">
        <v>23</v>
      </c>
      <c r="CV2" t="s">
        <v>22</v>
      </c>
    </row>
    <row r="28" spans="2:100" x14ac:dyDescent="0.3">
      <c r="B28" t="s">
        <v>0</v>
      </c>
      <c r="C28" t="s">
        <v>30</v>
      </c>
      <c r="L28" t="s">
        <v>11</v>
      </c>
      <c r="V28" t="s">
        <v>13</v>
      </c>
      <c r="AF28" t="s">
        <v>15</v>
      </c>
      <c r="AP28" t="s">
        <v>16</v>
      </c>
      <c r="AY28" t="s">
        <v>17</v>
      </c>
      <c r="BI28" t="s">
        <v>18</v>
      </c>
      <c r="BR28" t="s">
        <v>20</v>
      </c>
      <c r="CB28" t="s">
        <v>21</v>
      </c>
      <c r="CL28" t="s">
        <v>23</v>
      </c>
      <c r="CV28" t="s">
        <v>22</v>
      </c>
    </row>
    <row r="55" spans="2:100" x14ac:dyDescent="0.3">
      <c r="B55" t="s">
        <v>0</v>
      </c>
      <c r="C55" t="s">
        <v>7</v>
      </c>
      <c r="L55" t="s">
        <v>11</v>
      </c>
      <c r="V55" t="s">
        <v>13</v>
      </c>
      <c r="AF55" t="s">
        <v>15</v>
      </c>
      <c r="AP55" t="s">
        <v>16</v>
      </c>
      <c r="AY55" t="s">
        <v>17</v>
      </c>
      <c r="BI55" t="s">
        <v>18</v>
      </c>
      <c r="BR55" t="s">
        <v>20</v>
      </c>
      <c r="CB55" t="s">
        <v>21</v>
      </c>
      <c r="CL55" t="s">
        <v>23</v>
      </c>
      <c r="CV55" t="s">
        <v>22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C0D47-9537-4D62-807A-3D33E71FEDAF}">
  <dimension ref="A2:CU55"/>
  <sheetViews>
    <sheetView zoomScale="60" zoomScaleNormal="60" workbookViewId="0">
      <selection activeCell="V90" sqref="V90"/>
    </sheetView>
  </sheetViews>
  <sheetFormatPr defaultRowHeight="14.4" x14ac:dyDescent="0.3"/>
  <sheetData>
    <row r="2" spans="1:99" x14ac:dyDescent="0.3">
      <c r="A2" t="s">
        <v>0</v>
      </c>
      <c r="B2" t="s">
        <v>4</v>
      </c>
      <c r="K2" t="s">
        <v>11</v>
      </c>
      <c r="U2" t="s">
        <v>13</v>
      </c>
      <c r="AE2" t="s">
        <v>15</v>
      </c>
      <c r="AO2" t="s">
        <v>16</v>
      </c>
      <c r="AX2" t="s">
        <v>17</v>
      </c>
      <c r="BH2" t="s">
        <v>18</v>
      </c>
      <c r="BQ2" t="s">
        <v>20</v>
      </c>
      <c r="CA2" t="s">
        <v>21</v>
      </c>
      <c r="CK2" t="s">
        <v>23</v>
      </c>
      <c r="CU2" t="s">
        <v>22</v>
      </c>
    </row>
    <row r="28" spans="1:99" x14ac:dyDescent="0.3">
      <c r="A28" t="s">
        <v>0</v>
      </c>
      <c r="B28" t="s">
        <v>9</v>
      </c>
      <c r="K28" t="s">
        <v>11</v>
      </c>
      <c r="U28" t="s">
        <v>13</v>
      </c>
      <c r="AE28" t="s">
        <v>15</v>
      </c>
      <c r="AO28" t="s">
        <v>16</v>
      </c>
      <c r="AX28" t="s">
        <v>17</v>
      </c>
      <c r="BH28" t="s">
        <v>18</v>
      </c>
      <c r="BQ28" t="s">
        <v>20</v>
      </c>
      <c r="CA28" t="s">
        <v>21</v>
      </c>
      <c r="CK28" t="s">
        <v>23</v>
      </c>
      <c r="CU28" t="s">
        <v>22</v>
      </c>
    </row>
    <row r="55" spans="1:99" x14ac:dyDescent="0.3">
      <c r="A55" t="s">
        <v>0</v>
      </c>
      <c r="B55" t="s">
        <v>8</v>
      </c>
      <c r="K55" t="s">
        <v>11</v>
      </c>
      <c r="U55" t="s">
        <v>13</v>
      </c>
      <c r="AE55" t="s">
        <v>15</v>
      </c>
      <c r="AO55" t="s">
        <v>16</v>
      </c>
      <c r="AX55" t="s">
        <v>17</v>
      </c>
      <c r="BH55" t="s">
        <v>18</v>
      </c>
      <c r="BQ55" t="s">
        <v>20</v>
      </c>
      <c r="CA55" t="s">
        <v>21</v>
      </c>
      <c r="CK55" t="s">
        <v>23</v>
      </c>
      <c r="CU55" t="s">
        <v>22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07EE-904C-48F6-A28A-9F63DA5F1E31}">
  <dimension ref="B2:CV55"/>
  <sheetViews>
    <sheetView zoomScale="60" zoomScaleNormal="60" workbookViewId="0">
      <selection activeCell="T86" sqref="T86"/>
    </sheetView>
  </sheetViews>
  <sheetFormatPr defaultRowHeight="14.4" x14ac:dyDescent="0.3"/>
  <sheetData>
    <row r="2" spans="2:100" x14ac:dyDescent="0.3">
      <c r="B2" t="s">
        <v>0</v>
      </c>
      <c r="C2" t="s">
        <v>1</v>
      </c>
      <c r="L2" t="s">
        <v>11</v>
      </c>
      <c r="V2" t="s">
        <v>13</v>
      </c>
      <c r="AF2" t="s">
        <v>15</v>
      </c>
      <c r="AP2" t="s">
        <v>16</v>
      </c>
      <c r="AY2" t="s">
        <v>17</v>
      </c>
      <c r="BI2" t="s">
        <v>18</v>
      </c>
      <c r="BR2" t="s">
        <v>20</v>
      </c>
      <c r="CB2" t="s">
        <v>21</v>
      </c>
      <c r="CL2" t="s">
        <v>23</v>
      </c>
      <c r="CV2" t="s">
        <v>22</v>
      </c>
    </row>
    <row r="28" spans="2:100" x14ac:dyDescent="0.3">
      <c r="B28" t="s">
        <v>0</v>
      </c>
      <c r="C28" t="s">
        <v>24</v>
      </c>
      <c r="L28" t="s">
        <v>11</v>
      </c>
      <c r="V28" t="s">
        <v>13</v>
      </c>
      <c r="AF28" t="s">
        <v>15</v>
      </c>
      <c r="AP28" t="s">
        <v>16</v>
      </c>
      <c r="AY28" t="s">
        <v>17</v>
      </c>
      <c r="BI28" t="s">
        <v>18</v>
      </c>
      <c r="BR28" t="s">
        <v>20</v>
      </c>
      <c r="CB28" t="s">
        <v>21</v>
      </c>
      <c r="CL28" t="s">
        <v>23</v>
      </c>
      <c r="CV28" t="s">
        <v>22</v>
      </c>
    </row>
    <row r="55" spans="2:100" x14ac:dyDescent="0.3">
      <c r="B55" t="s">
        <v>0</v>
      </c>
      <c r="C55" t="s">
        <v>10</v>
      </c>
      <c r="L55" t="s">
        <v>11</v>
      </c>
      <c r="V55" t="s">
        <v>13</v>
      </c>
      <c r="AF55" t="s">
        <v>15</v>
      </c>
      <c r="AP55" t="s">
        <v>16</v>
      </c>
      <c r="AY55" t="s">
        <v>17</v>
      </c>
      <c r="BI55" t="s">
        <v>18</v>
      </c>
      <c r="BR55" t="s">
        <v>20</v>
      </c>
      <c r="CB55" t="s">
        <v>21</v>
      </c>
      <c r="CL55" t="s">
        <v>23</v>
      </c>
      <c r="CV55" t="s">
        <v>22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0855E-3283-48FB-B8F2-F28F506A34CC}">
  <dimension ref="A1:K21"/>
  <sheetViews>
    <sheetView zoomScale="90" zoomScaleNormal="90" workbookViewId="0">
      <selection activeCell="I19" sqref="I19:K19"/>
    </sheetView>
  </sheetViews>
  <sheetFormatPr defaultRowHeight="14.4" x14ac:dyDescent="0.3"/>
  <cols>
    <col min="1" max="1" width="9.5546875" customWidth="1"/>
    <col min="2" max="2" width="16.109375" bestFit="1" customWidth="1"/>
    <col min="5" max="5" width="19.5546875" customWidth="1"/>
    <col min="6" max="6" width="16.5546875" customWidth="1"/>
    <col min="7" max="7" width="11.21875" customWidth="1"/>
    <col min="8" max="8" width="8.88671875" customWidth="1"/>
    <col min="9" max="9" width="15" customWidth="1"/>
    <col min="10" max="10" width="10" customWidth="1"/>
  </cols>
  <sheetData>
    <row r="1" spans="1:11" ht="72" x14ac:dyDescent="0.3">
      <c r="A1" s="126" t="s">
        <v>116</v>
      </c>
      <c r="B1" s="126" t="s">
        <v>117</v>
      </c>
      <c r="C1" s="126" t="s">
        <v>164</v>
      </c>
      <c r="D1" s="126" t="s">
        <v>21</v>
      </c>
      <c r="E1" s="126" t="s">
        <v>165</v>
      </c>
      <c r="F1" s="126" t="s">
        <v>166</v>
      </c>
      <c r="G1" s="126" t="s">
        <v>167</v>
      </c>
      <c r="H1" s="126" t="s">
        <v>168</v>
      </c>
      <c r="I1" s="126" t="s">
        <v>169</v>
      </c>
      <c r="J1" s="126" t="s">
        <v>173</v>
      </c>
      <c r="K1" s="126" t="s">
        <v>170</v>
      </c>
    </row>
    <row r="2" spans="1:11" x14ac:dyDescent="0.3">
      <c r="A2" t="s">
        <v>118</v>
      </c>
      <c r="B2" t="s">
        <v>134</v>
      </c>
      <c r="C2" s="49">
        <v>3013.7951376178999</v>
      </c>
      <c r="D2" s="196">
        <v>256.05537093211268</v>
      </c>
      <c r="F2" s="45"/>
      <c r="G2" s="45"/>
      <c r="H2" s="45"/>
      <c r="I2" s="45"/>
      <c r="J2" s="45"/>
      <c r="K2" t="s">
        <v>143</v>
      </c>
    </row>
    <row r="3" spans="1:11" x14ac:dyDescent="0.3">
      <c r="A3" t="s">
        <v>118</v>
      </c>
      <c r="B3" t="s">
        <v>127</v>
      </c>
      <c r="C3" s="49">
        <v>3228.3051976117999</v>
      </c>
      <c r="D3" s="196">
        <v>277.72917369409339</v>
      </c>
      <c r="F3" s="45">
        <f>(C3-C2)/(D3-D2)</f>
        <v>9.897204581476803</v>
      </c>
      <c r="G3" s="45">
        <f>(D3-D2)/(C3-C2)</f>
        <v>0.1010386308343629</v>
      </c>
      <c r="H3" s="45"/>
      <c r="I3" s="45"/>
      <c r="J3" s="45"/>
      <c r="K3" t="s">
        <v>143</v>
      </c>
    </row>
    <row r="4" spans="1:11" x14ac:dyDescent="0.3">
      <c r="A4" t="s">
        <v>118</v>
      </c>
      <c r="B4" t="s">
        <v>138</v>
      </c>
      <c r="C4" s="49">
        <v>3331.2518483131998</v>
      </c>
      <c r="D4" s="196">
        <v>258.82320817405918</v>
      </c>
      <c r="E4" t="s">
        <v>171</v>
      </c>
      <c r="F4" s="45"/>
      <c r="G4" s="45"/>
      <c r="H4" s="45"/>
      <c r="I4" s="45"/>
      <c r="J4" s="45"/>
      <c r="K4" t="s">
        <v>144</v>
      </c>
    </row>
    <row r="5" spans="1:11" x14ac:dyDescent="0.3">
      <c r="A5" t="s">
        <v>118</v>
      </c>
      <c r="B5" t="s">
        <v>133</v>
      </c>
      <c r="C5" s="49">
        <v>3681.8186988288999</v>
      </c>
      <c r="D5" s="196">
        <v>267.32993072446408</v>
      </c>
      <c r="E5" t="s">
        <v>171</v>
      </c>
      <c r="F5" s="45"/>
      <c r="G5" s="45"/>
      <c r="H5" s="45"/>
      <c r="I5" s="45"/>
      <c r="J5" s="45"/>
      <c r="K5" t="s">
        <v>144</v>
      </c>
    </row>
    <row r="6" spans="1:11" x14ac:dyDescent="0.3">
      <c r="A6" t="s">
        <v>118</v>
      </c>
      <c r="B6" t="s">
        <v>130</v>
      </c>
      <c r="C6" s="49">
        <v>3706.7368043362999</v>
      </c>
      <c r="D6" s="196">
        <v>286.65340539718841</v>
      </c>
      <c r="F6" s="45" t="s">
        <v>172</v>
      </c>
      <c r="G6" s="45"/>
      <c r="H6" s="73">
        <f>G9*(C6-C9)+D9</f>
        <v>293.97357988566455</v>
      </c>
      <c r="I6" s="197">
        <f>D6/H6</f>
        <v>0.9750992096251534</v>
      </c>
      <c r="J6" s="45"/>
      <c r="K6" t="s">
        <v>144</v>
      </c>
    </row>
    <row r="7" spans="1:11" x14ac:dyDescent="0.3">
      <c r="A7" t="s">
        <v>118</v>
      </c>
      <c r="B7" t="s">
        <v>137</v>
      </c>
      <c r="C7" s="49">
        <v>3964.6814490361999</v>
      </c>
      <c r="D7" s="196">
        <v>268.60118578955911</v>
      </c>
      <c r="E7" t="s">
        <v>171</v>
      </c>
      <c r="F7" s="45"/>
      <c r="G7" s="45"/>
      <c r="H7" s="45"/>
      <c r="I7" s="45"/>
      <c r="J7" s="45"/>
      <c r="K7" t="s">
        <v>144</v>
      </c>
    </row>
    <row r="8" spans="1:11" x14ac:dyDescent="0.3">
      <c r="A8" t="s">
        <v>118</v>
      </c>
      <c r="B8" t="s">
        <v>126</v>
      </c>
      <c r="C8" s="49">
        <v>4023.0400641921001</v>
      </c>
      <c r="D8" s="196">
        <v>293.12209487147652</v>
      </c>
      <c r="F8" s="45" t="s">
        <v>172</v>
      </c>
      <c r="G8" s="45"/>
      <c r="H8" s="73">
        <f>G9*(C8-C9)+D9</f>
        <v>304.71316849268243</v>
      </c>
      <c r="I8" s="197">
        <f>D8/H8</f>
        <v>0.96196070659320965</v>
      </c>
      <c r="J8" s="45"/>
      <c r="K8" t="s">
        <v>144</v>
      </c>
    </row>
    <row r="9" spans="1:11" x14ac:dyDescent="0.3">
      <c r="A9" t="s">
        <v>118</v>
      </c>
      <c r="B9" t="s">
        <v>121</v>
      </c>
      <c r="C9" s="49">
        <v>4037.2374361233001</v>
      </c>
      <c r="D9" s="196">
        <v>305.19521832647621</v>
      </c>
      <c r="F9" s="45">
        <f>(C9-C3)/(D9-D3)</f>
        <v>29.45208344843941</v>
      </c>
      <c r="G9" s="45">
        <f>(D9-D3)/(C9-C3)</f>
        <v>3.3953455338759313E-2</v>
      </c>
      <c r="H9" s="45"/>
      <c r="I9" s="45"/>
      <c r="J9" s="45"/>
      <c r="K9" t="s">
        <v>143</v>
      </c>
    </row>
    <row r="10" spans="1:11" x14ac:dyDescent="0.3">
      <c r="A10" t="s">
        <v>118</v>
      </c>
      <c r="B10" t="s">
        <v>129</v>
      </c>
      <c r="C10" s="49">
        <v>4450.5929078542003</v>
      </c>
      <c r="D10" s="196">
        <v>297.84531671771521</v>
      </c>
      <c r="E10" t="s">
        <v>171</v>
      </c>
      <c r="F10" s="45"/>
      <c r="G10" s="45"/>
      <c r="H10" s="45"/>
      <c r="I10" s="45"/>
      <c r="J10" s="45"/>
      <c r="K10" t="s">
        <v>144</v>
      </c>
    </row>
    <row r="11" spans="1:11" x14ac:dyDescent="0.3">
      <c r="A11" t="s">
        <v>118</v>
      </c>
      <c r="B11" t="s">
        <v>120</v>
      </c>
      <c r="C11" s="49">
        <v>4861.6763761272996</v>
      </c>
      <c r="D11" s="196">
        <v>317.52740035529621</v>
      </c>
      <c r="F11" s="45">
        <f>(C11-C9)/(D11-D9)</f>
        <v>66.852641169040993</v>
      </c>
      <c r="G11" s="45">
        <f>(D11-D9)/(C11-C9)</f>
        <v>1.4958272141730925E-2</v>
      </c>
      <c r="H11" s="45"/>
      <c r="I11" s="45"/>
      <c r="J11" s="45"/>
      <c r="K11" t="s">
        <v>143</v>
      </c>
    </row>
    <row r="12" spans="1:11" x14ac:dyDescent="0.3">
      <c r="A12" t="s">
        <v>118</v>
      </c>
      <c r="B12" t="s">
        <v>132</v>
      </c>
      <c r="C12" s="49">
        <v>5003.9060157294998</v>
      </c>
      <c r="D12" s="196">
        <v>273.89182729422703</v>
      </c>
      <c r="E12" t="s">
        <v>171</v>
      </c>
      <c r="F12" s="45"/>
      <c r="G12" s="45"/>
      <c r="H12" s="45"/>
      <c r="I12" s="45"/>
      <c r="J12" s="45"/>
      <c r="K12" t="s">
        <v>144</v>
      </c>
    </row>
    <row r="13" spans="1:11" x14ac:dyDescent="0.3">
      <c r="A13" t="s">
        <v>118</v>
      </c>
      <c r="B13" t="s">
        <v>124</v>
      </c>
      <c r="C13" s="49">
        <v>5145.3991736100998</v>
      </c>
      <c r="D13" s="196">
        <v>319.13096452967591</v>
      </c>
      <c r="F13" s="45">
        <f>(C13-C11)/(D13-D11)</f>
        <v>176.93261175066579</v>
      </c>
      <c r="G13" s="45">
        <f>(D13-D11)/(C13-C11)</f>
        <v>5.6518693196549001E-3</v>
      </c>
      <c r="H13" s="45"/>
      <c r="I13" s="45"/>
      <c r="J13" s="45"/>
      <c r="K13" t="s">
        <v>143</v>
      </c>
    </row>
    <row r="14" spans="1:11" x14ac:dyDescent="0.3">
      <c r="A14" t="s">
        <v>118</v>
      </c>
      <c r="B14" t="s">
        <v>135</v>
      </c>
      <c r="C14" s="49">
        <v>5377.5421415410001</v>
      </c>
      <c r="D14" s="196">
        <v>275.30732269542762</v>
      </c>
      <c r="E14" t="s">
        <v>171</v>
      </c>
      <c r="F14" s="45"/>
      <c r="G14" s="45"/>
      <c r="H14" s="45"/>
      <c r="I14" s="45"/>
      <c r="J14" s="45"/>
      <c r="K14" t="s">
        <v>144</v>
      </c>
    </row>
    <row r="15" spans="1:11" x14ac:dyDescent="0.3">
      <c r="A15" t="s">
        <v>118</v>
      </c>
      <c r="B15" t="s">
        <v>136</v>
      </c>
      <c r="C15" s="49">
        <v>5626.3592210923998</v>
      </c>
      <c r="D15" s="196">
        <v>275.6457822481957</v>
      </c>
      <c r="E15" t="s">
        <v>171</v>
      </c>
      <c r="F15" s="45"/>
      <c r="G15" s="45"/>
      <c r="H15" s="45"/>
      <c r="I15" s="45"/>
      <c r="J15" s="45"/>
      <c r="K15" t="s">
        <v>144</v>
      </c>
    </row>
    <row r="16" spans="1:11" x14ac:dyDescent="0.3">
      <c r="A16" t="s">
        <v>118</v>
      </c>
      <c r="B16" t="s">
        <v>125</v>
      </c>
      <c r="C16" s="49">
        <v>6014.7839205541004</v>
      </c>
      <c r="D16" s="196">
        <v>304.73458819641849</v>
      </c>
      <c r="E16" t="s">
        <v>171</v>
      </c>
      <c r="F16" s="45"/>
      <c r="G16" s="45"/>
      <c r="H16" s="45"/>
      <c r="I16" s="45"/>
      <c r="J16" s="45"/>
      <c r="K16" t="s">
        <v>144</v>
      </c>
    </row>
    <row r="17" spans="1:11" x14ac:dyDescent="0.3">
      <c r="A17" t="s">
        <v>118</v>
      </c>
      <c r="B17" t="s">
        <v>128</v>
      </c>
      <c r="C17" s="49">
        <v>6389.3889243903004</v>
      </c>
      <c r="D17" s="196">
        <v>306.63783804027531</v>
      </c>
      <c r="E17" t="s">
        <v>171</v>
      </c>
      <c r="F17" s="45"/>
      <c r="G17" s="45"/>
      <c r="H17" s="45"/>
      <c r="I17" s="45"/>
      <c r="J17" s="45"/>
      <c r="K17" t="s">
        <v>144</v>
      </c>
    </row>
    <row r="18" spans="1:11" x14ac:dyDescent="0.3">
      <c r="A18" t="s">
        <v>118</v>
      </c>
      <c r="B18" t="s">
        <v>131</v>
      </c>
      <c r="C18" s="49">
        <v>6637.1301047050001</v>
      </c>
      <c r="D18" s="196">
        <v>306.80388430443008</v>
      </c>
      <c r="E18" t="s">
        <v>171</v>
      </c>
      <c r="F18" s="45"/>
      <c r="G18" s="45"/>
      <c r="H18" s="45"/>
      <c r="I18" s="45"/>
      <c r="J18" s="45"/>
      <c r="K18" t="s">
        <v>144</v>
      </c>
    </row>
    <row r="19" spans="1:11" x14ac:dyDescent="0.3">
      <c r="A19" t="s">
        <v>118</v>
      </c>
      <c r="B19" t="s">
        <v>119</v>
      </c>
      <c r="C19" s="49">
        <v>7040.6812442999999</v>
      </c>
      <c r="D19" s="196">
        <v>326.53563001461998</v>
      </c>
      <c r="F19" s="45" t="s">
        <v>172</v>
      </c>
      <c r="G19" s="45"/>
      <c r="H19" s="45">
        <f>G20*(C19-C20)+D20</f>
        <v>326.74150195298813</v>
      </c>
      <c r="I19" s="286">
        <f>D19/H19</f>
        <v>0.99936992412308323</v>
      </c>
      <c r="J19" s="285">
        <f>(C19-C13)/(D19-D13)</f>
        <v>255.95782477190656</v>
      </c>
      <c r="K19" s="110" t="s">
        <v>146</v>
      </c>
    </row>
    <row r="20" spans="1:11" x14ac:dyDescent="0.3">
      <c r="A20" t="s">
        <v>118</v>
      </c>
      <c r="B20" t="s">
        <v>122</v>
      </c>
      <c r="C20" s="49">
        <v>7413.5426295991001</v>
      </c>
      <c r="D20" s="196">
        <v>328.23873319387349</v>
      </c>
      <c r="F20" s="45">
        <f>(C20-C13)/(D20-D13)</f>
        <v>249.03393351491437</v>
      </c>
      <c r="G20" s="45">
        <f>(D20-D13)/(C20-C13)</f>
        <v>4.0155170256751822E-3</v>
      </c>
      <c r="H20" s="45"/>
      <c r="I20" s="45"/>
      <c r="J20" s="45"/>
      <c r="K20" t="s">
        <v>143</v>
      </c>
    </row>
    <row r="21" spans="1:11" x14ac:dyDescent="0.3">
      <c r="A21" t="s">
        <v>118</v>
      </c>
      <c r="B21" t="s">
        <v>123</v>
      </c>
      <c r="C21" s="49">
        <v>7662.2216672974</v>
      </c>
      <c r="D21" s="196">
        <v>328.79131026967781</v>
      </c>
      <c r="F21" s="45">
        <f>(C21-C20)/(D21-D20)</f>
        <v>450.03502422956421</v>
      </c>
      <c r="G21" s="45">
        <f>(D21-D20)/(C21-C20)</f>
        <v>2.2220492765245244E-3</v>
      </c>
      <c r="H21" s="45"/>
      <c r="I21" s="45"/>
      <c r="J21" s="45"/>
      <c r="K21" t="s">
        <v>143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D120-76B9-4C51-A7BB-AF2F29FADDF1}">
  <dimension ref="A1:K21"/>
  <sheetViews>
    <sheetView zoomScale="90" zoomScaleNormal="90" workbookViewId="0">
      <selection activeCell="Q4" sqref="Q4"/>
    </sheetView>
  </sheetViews>
  <sheetFormatPr defaultRowHeight="14.4" x14ac:dyDescent="0.3"/>
  <cols>
    <col min="2" max="2" width="16.5546875" customWidth="1"/>
    <col min="3" max="3" width="7.21875" customWidth="1"/>
    <col min="4" max="4" width="8.21875" customWidth="1"/>
    <col min="5" max="5" width="18.21875" customWidth="1"/>
    <col min="6" max="6" width="15.6640625" customWidth="1"/>
    <col min="7" max="7" width="13.5546875" customWidth="1"/>
    <col min="8" max="8" width="12.6640625" customWidth="1"/>
    <col min="9" max="9" width="18.77734375" customWidth="1"/>
  </cols>
  <sheetData>
    <row r="1" spans="1:11" ht="59.4" customHeight="1" x14ac:dyDescent="0.3">
      <c r="A1" s="126" t="s">
        <v>116</v>
      </c>
      <c r="B1" s="126" t="s">
        <v>117</v>
      </c>
      <c r="C1" s="126" t="s">
        <v>164</v>
      </c>
      <c r="D1" s="126" t="s">
        <v>21</v>
      </c>
      <c r="E1" s="126" t="s">
        <v>165</v>
      </c>
      <c r="F1" s="126" t="s">
        <v>166</v>
      </c>
      <c r="G1" s="126" t="s">
        <v>167</v>
      </c>
      <c r="H1" s="126" t="s">
        <v>168</v>
      </c>
      <c r="I1" s="126" t="s">
        <v>169</v>
      </c>
      <c r="J1" s="126" t="s">
        <v>173</v>
      </c>
      <c r="K1" s="126" t="s">
        <v>170</v>
      </c>
    </row>
    <row r="2" spans="1:11" x14ac:dyDescent="0.3">
      <c r="A2" t="s">
        <v>140</v>
      </c>
      <c r="B2" t="s">
        <v>134</v>
      </c>
      <c r="C2">
        <v>3015</v>
      </c>
      <c r="D2">
        <v>236.4</v>
      </c>
      <c r="F2" s="45"/>
      <c r="G2" s="45"/>
      <c r="K2" t="s">
        <v>143</v>
      </c>
    </row>
    <row r="3" spans="1:11" x14ac:dyDescent="0.3">
      <c r="A3" t="s">
        <v>140</v>
      </c>
      <c r="B3" t="s">
        <v>127</v>
      </c>
      <c r="C3">
        <v>3258</v>
      </c>
      <c r="D3">
        <v>257.5</v>
      </c>
      <c r="F3" s="45">
        <f>(C3-C2)/(D3-D2)</f>
        <v>11.516587677725122</v>
      </c>
      <c r="G3" s="45">
        <f>1/F3</f>
        <v>8.683127572016458E-2</v>
      </c>
      <c r="K3" t="s">
        <v>143</v>
      </c>
    </row>
    <row r="4" spans="1:11" x14ac:dyDescent="0.3">
      <c r="A4" t="s">
        <v>140</v>
      </c>
      <c r="B4" t="s">
        <v>138</v>
      </c>
      <c r="C4">
        <v>3324</v>
      </c>
      <c r="D4">
        <v>238.9</v>
      </c>
      <c r="E4" t="s">
        <v>171</v>
      </c>
      <c r="F4" s="45"/>
      <c r="G4" s="45"/>
      <c r="K4" t="s">
        <v>144</v>
      </c>
    </row>
    <row r="5" spans="1:11" x14ac:dyDescent="0.3">
      <c r="A5" t="s">
        <v>140</v>
      </c>
      <c r="B5" t="s">
        <v>133</v>
      </c>
      <c r="C5">
        <v>3677</v>
      </c>
      <c r="D5">
        <v>245.3</v>
      </c>
      <c r="E5" t="s">
        <v>171</v>
      </c>
      <c r="F5" s="45"/>
      <c r="G5" s="45"/>
      <c r="K5" t="s">
        <v>144</v>
      </c>
    </row>
    <row r="6" spans="1:11" x14ac:dyDescent="0.3">
      <c r="A6" t="s">
        <v>140</v>
      </c>
      <c r="B6" t="s">
        <v>130</v>
      </c>
      <c r="C6">
        <v>3728</v>
      </c>
      <c r="D6">
        <v>264</v>
      </c>
      <c r="F6" s="45" t="s">
        <v>172</v>
      </c>
      <c r="G6" s="45"/>
      <c r="H6" s="73">
        <f>G9*(C6-C9)+D9</f>
        <v>270.00668286755769</v>
      </c>
      <c r="I6" s="197">
        <f>D6/H6</f>
        <v>0.97775357704570576</v>
      </c>
      <c r="K6" t="s">
        <v>144</v>
      </c>
    </row>
    <row r="7" spans="1:11" x14ac:dyDescent="0.3">
      <c r="A7" t="s">
        <v>140</v>
      </c>
      <c r="B7" t="s">
        <v>137</v>
      </c>
      <c r="C7">
        <v>3949</v>
      </c>
      <c r="D7">
        <v>246.4</v>
      </c>
      <c r="E7" t="s">
        <v>171</v>
      </c>
      <c r="F7" s="45"/>
      <c r="G7" s="45"/>
      <c r="H7" s="200"/>
      <c r="K7" t="s">
        <v>144</v>
      </c>
    </row>
    <row r="8" spans="1:11" x14ac:dyDescent="0.3">
      <c r="A8" t="s">
        <v>140</v>
      </c>
      <c r="B8" t="s">
        <v>126</v>
      </c>
      <c r="C8">
        <v>4049</v>
      </c>
      <c r="D8">
        <v>269.7</v>
      </c>
      <c r="F8" s="45" t="s">
        <v>172</v>
      </c>
      <c r="G8" s="45"/>
      <c r="H8" s="200">
        <f>G9*(C8-C9)+D9</f>
        <v>278.54848116646411</v>
      </c>
      <c r="I8" s="197">
        <f>D8/H8</f>
        <v>0.96823360468737873</v>
      </c>
      <c r="K8" t="s">
        <v>144</v>
      </c>
    </row>
    <row r="9" spans="1:11" x14ac:dyDescent="0.3">
      <c r="A9" t="s">
        <v>140</v>
      </c>
      <c r="B9" t="s">
        <v>121</v>
      </c>
      <c r="C9">
        <v>4081</v>
      </c>
      <c r="D9">
        <v>279.39999999999998</v>
      </c>
      <c r="F9" s="45">
        <f>(C9-C3)/(D9-D3)</f>
        <v>37.579908675799125</v>
      </c>
      <c r="G9" s="45">
        <f>1/F9</f>
        <v>2.6609963547995111E-2</v>
      </c>
      <c r="K9" t="s">
        <v>143</v>
      </c>
    </row>
    <row r="10" spans="1:11" x14ac:dyDescent="0.3">
      <c r="A10" t="s">
        <v>140</v>
      </c>
      <c r="B10" t="s">
        <v>129</v>
      </c>
      <c r="C10">
        <v>4464</v>
      </c>
      <c r="D10">
        <v>273</v>
      </c>
      <c r="E10" t="s">
        <v>171</v>
      </c>
      <c r="F10" s="45"/>
      <c r="G10" s="45"/>
      <c r="K10" t="s">
        <v>144</v>
      </c>
    </row>
    <row r="11" spans="1:11" x14ac:dyDescent="0.3">
      <c r="A11" t="s">
        <v>140</v>
      </c>
      <c r="B11" t="s">
        <v>120</v>
      </c>
      <c r="C11">
        <v>4906</v>
      </c>
      <c r="D11">
        <v>289.10000000000002</v>
      </c>
      <c r="F11" s="45">
        <f>(C11-C9)/(D11-D9)</f>
        <v>85.051546391752183</v>
      </c>
      <c r="G11" s="45">
        <f>1/F11</f>
        <v>1.1757575757575812E-2</v>
      </c>
      <c r="K11" t="s">
        <v>143</v>
      </c>
    </row>
    <row r="12" spans="1:11" x14ac:dyDescent="0.3">
      <c r="A12" t="s">
        <v>140</v>
      </c>
      <c r="B12" t="s">
        <v>132</v>
      </c>
      <c r="C12">
        <v>4966</v>
      </c>
      <c r="D12">
        <v>251.3</v>
      </c>
      <c r="E12" t="s">
        <v>171</v>
      </c>
      <c r="F12" s="45"/>
      <c r="G12" s="45"/>
      <c r="K12" t="s">
        <v>144</v>
      </c>
    </row>
    <row r="13" spans="1:11" x14ac:dyDescent="0.3">
      <c r="A13" t="s">
        <v>140</v>
      </c>
      <c r="B13" t="s">
        <v>124</v>
      </c>
      <c r="C13">
        <v>5178</v>
      </c>
      <c r="D13">
        <v>290.39999999999998</v>
      </c>
      <c r="F13" s="45">
        <f>(C13-C11)/(D13-D11)</f>
        <v>209.23076923077656</v>
      </c>
      <c r="G13" s="45">
        <f>1/F13</f>
        <v>4.7794117647057153E-3</v>
      </c>
      <c r="K13" t="s">
        <v>143</v>
      </c>
    </row>
    <row r="14" spans="1:11" x14ac:dyDescent="0.3">
      <c r="A14" t="s">
        <v>140</v>
      </c>
      <c r="B14" t="s">
        <v>135</v>
      </c>
      <c r="C14">
        <v>5322</v>
      </c>
      <c r="D14">
        <v>252.2</v>
      </c>
      <c r="E14" t="s">
        <v>171</v>
      </c>
      <c r="F14" s="45"/>
      <c r="G14" s="45"/>
      <c r="K14" t="s">
        <v>144</v>
      </c>
    </row>
    <row r="15" spans="1:11" x14ac:dyDescent="0.3">
      <c r="A15" t="s">
        <v>140</v>
      </c>
      <c r="B15" t="s">
        <v>136</v>
      </c>
      <c r="C15">
        <v>5557</v>
      </c>
      <c r="D15">
        <v>252.6</v>
      </c>
      <c r="E15" t="s">
        <v>171</v>
      </c>
      <c r="F15" s="45"/>
      <c r="G15" s="45"/>
      <c r="K15" t="s">
        <v>144</v>
      </c>
    </row>
    <row r="16" spans="1:11" x14ac:dyDescent="0.3">
      <c r="A16" t="s">
        <v>140</v>
      </c>
      <c r="B16" t="s">
        <v>125</v>
      </c>
      <c r="C16">
        <v>5995</v>
      </c>
      <c r="D16">
        <v>278.60000000000002</v>
      </c>
      <c r="E16" t="s">
        <v>171</v>
      </c>
      <c r="F16" s="45"/>
      <c r="G16" s="45"/>
      <c r="K16" t="s">
        <v>144</v>
      </c>
    </row>
    <row r="17" spans="1:11" x14ac:dyDescent="0.3">
      <c r="A17" t="s">
        <v>140</v>
      </c>
      <c r="B17" t="s">
        <v>128</v>
      </c>
      <c r="C17">
        <v>6351</v>
      </c>
      <c r="D17">
        <v>279.60000000000002</v>
      </c>
      <c r="E17" t="s">
        <v>171</v>
      </c>
      <c r="F17" s="45"/>
      <c r="G17" s="45"/>
      <c r="K17" t="s">
        <v>144</v>
      </c>
    </row>
    <row r="18" spans="1:11" x14ac:dyDescent="0.3">
      <c r="A18" t="s">
        <v>140</v>
      </c>
      <c r="B18" t="s">
        <v>131</v>
      </c>
      <c r="C18">
        <v>6586</v>
      </c>
      <c r="D18">
        <v>279.8</v>
      </c>
      <c r="E18" t="s">
        <v>171</v>
      </c>
      <c r="F18" s="45"/>
      <c r="G18" s="45"/>
      <c r="K18" t="s">
        <v>144</v>
      </c>
    </row>
    <row r="19" spans="1:11" x14ac:dyDescent="0.3">
      <c r="A19" t="s">
        <v>140</v>
      </c>
      <c r="B19" t="s">
        <v>119</v>
      </c>
      <c r="C19">
        <v>7039</v>
      </c>
      <c r="D19">
        <v>296.7</v>
      </c>
      <c r="F19" s="45">
        <f>(C19-C13)/(D19-D13)</f>
        <v>295.39682539682485</v>
      </c>
      <c r="G19" s="45">
        <f>1/F19</f>
        <v>3.3852767329392861E-3</v>
      </c>
      <c r="K19" t="s">
        <v>143</v>
      </c>
    </row>
    <row r="20" spans="1:11" x14ac:dyDescent="0.3">
      <c r="A20" t="s">
        <v>140</v>
      </c>
      <c r="B20" t="s">
        <v>122</v>
      </c>
      <c r="C20">
        <v>7395</v>
      </c>
      <c r="D20">
        <v>297.39999999999998</v>
      </c>
      <c r="F20" s="45">
        <f>(C20-C19)/(D20-D19)</f>
        <v>508.57142857143685</v>
      </c>
      <c r="G20" s="45">
        <f>1/F20</f>
        <v>1.9662921348314287E-3</v>
      </c>
      <c r="K20" t="s">
        <v>143</v>
      </c>
    </row>
    <row r="21" spans="1:11" x14ac:dyDescent="0.3">
      <c r="A21" t="s">
        <v>140</v>
      </c>
      <c r="B21" t="s">
        <v>123</v>
      </c>
      <c r="C21">
        <v>7630</v>
      </c>
      <c r="D21">
        <v>297.60000000000002</v>
      </c>
      <c r="F21" s="45">
        <f>(C21-C20)/(D21-D20)</f>
        <v>1174.9999999997328</v>
      </c>
      <c r="G21" s="45">
        <f>1/F21</f>
        <v>8.5106382978742756E-4</v>
      </c>
      <c r="K21" t="s">
        <v>143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2A40-98A9-4A3C-869E-B56BE0B44C2E}">
  <dimension ref="A1:K21"/>
  <sheetViews>
    <sheetView zoomScale="90" zoomScaleNormal="90" workbookViewId="0">
      <selection activeCell="Q7" sqref="Q7"/>
    </sheetView>
  </sheetViews>
  <sheetFormatPr defaultRowHeight="14.4" x14ac:dyDescent="0.3"/>
  <cols>
    <col min="2" max="2" width="20" customWidth="1"/>
    <col min="5" max="5" width="18.6640625" customWidth="1"/>
    <col min="6" max="6" width="17.5546875" customWidth="1"/>
    <col min="7" max="7" width="7.77734375" customWidth="1"/>
    <col min="8" max="8" width="10.109375" customWidth="1"/>
    <col min="9" max="9" width="14.33203125" customWidth="1"/>
    <col min="11" max="11" width="10.109375" customWidth="1"/>
  </cols>
  <sheetData>
    <row r="1" spans="1:11" ht="72" x14ac:dyDescent="0.3">
      <c r="A1" s="126" t="s">
        <v>116</v>
      </c>
      <c r="B1" s="126" t="s">
        <v>117</v>
      </c>
      <c r="C1" s="126" t="s">
        <v>164</v>
      </c>
      <c r="D1" s="126" t="s">
        <v>21</v>
      </c>
      <c r="E1" s="126" t="s">
        <v>165</v>
      </c>
      <c r="F1" s="126" t="s">
        <v>166</v>
      </c>
      <c r="G1" s="126" t="s">
        <v>167</v>
      </c>
      <c r="H1" s="126" t="s">
        <v>168</v>
      </c>
      <c r="I1" s="126" t="s">
        <v>169</v>
      </c>
      <c r="J1" s="126" t="s">
        <v>173</v>
      </c>
      <c r="K1" s="126" t="s">
        <v>170</v>
      </c>
    </row>
    <row r="2" spans="1:11" x14ac:dyDescent="0.3">
      <c r="A2" t="s">
        <v>141</v>
      </c>
      <c r="B2" t="s">
        <v>134</v>
      </c>
      <c r="C2">
        <v>2968</v>
      </c>
      <c r="D2">
        <v>232.6</v>
      </c>
      <c r="E2" s="45"/>
      <c r="F2" s="45"/>
      <c r="K2" t="s">
        <v>143</v>
      </c>
    </row>
    <row r="3" spans="1:11" x14ac:dyDescent="0.3">
      <c r="A3" t="s">
        <v>141</v>
      </c>
      <c r="B3" t="s">
        <v>127</v>
      </c>
      <c r="C3">
        <v>3187</v>
      </c>
      <c r="D3">
        <v>260</v>
      </c>
      <c r="E3" s="45"/>
      <c r="F3" s="73">
        <f>(C3-C2)/(D3-D2)</f>
        <v>7.9927007299270052</v>
      </c>
      <c r="G3">
        <f>1/F3</f>
        <v>0.12511415525114158</v>
      </c>
      <c r="K3" t="s">
        <v>143</v>
      </c>
    </row>
    <row r="4" spans="1:11" x14ac:dyDescent="0.3">
      <c r="A4" t="s">
        <v>141</v>
      </c>
      <c r="B4" t="s">
        <v>138</v>
      </c>
      <c r="C4">
        <v>3262</v>
      </c>
      <c r="D4">
        <v>233.9</v>
      </c>
      <c r="E4" s="45" t="s">
        <v>171</v>
      </c>
      <c r="F4" s="45"/>
      <c r="K4" t="s">
        <v>144</v>
      </c>
    </row>
    <row r="5" spans="1:11" x14ac:dyDescent="0.3">
      <c r="A5" t="s">
        <v>141</v>
      </c>
      <c r="B5" t="s">
        <v>133</v>
      </c>
      <c r="C5">
        <v>3635</v>
      </c>
      <c r="D5">
        <v>242.8</v>
      </c>
      <c r="E5" s="45" t="s">
        <v>171</v>
      </c>
      <c r="F5" s="45"/>
      <c r="K5" t="s">
        <v>144</v>
      </c>
    </row>
    <row r="6" spans="1:11" x14ac:dyDescent="0.3">
      <c r="A6" t="s">
        <v>141</v>
      </c>
      <c r="B6" t="s">
        <v>130</v>
      </c>
      <c r="C6">
        <v>3656</v>
      </c>
      <c r="D6">
        <v>265.10000000000002</v>
      </c>
      <c r="E6" s="45"/>
      <c r="F6" s="45" t="s">
        <v>172</v>
      </c>
      <c r="H6" s="73">
        <f>G9*(C6-C9)+D9</f>
        <v>276.08978102189781</v>
      </c>
      <c r="I6" s="197">
        <f>D6/H6</f>
        <v>0.96019490116142281</v>
      </c>
      <c r="K6" t="s">
        <v>144</v>
      </c>
    </row>
    <row r="7" spans="1:11" x14ac:dyDescent="0.3">
      <c r="A7" t="s">
        <v>141</v>
      </c>
      <c r="B7" t="s">
        <v>137</v>
      </c>
      <c r="C7">
        <v>3887</v>
      </c>
      <c r="D7">
        <v>243.3</v>
      </c>
      <c r="E7" s="45" t="s">
        <v>171</v>
      </c>
      <c r="F7" s="45"/>
      <c r="K7" t="s">
        <v>143</v>
      </c>
    </row>
    <row r="8" spans="1:11" x14ac:dyDescent="0.3">
      <c r="A8" t="s">
        <v>141</v>
      </c>
      <c r="B8" t="s">
        <v>126</v>
      </c>
      <c r="C8">
        <v>4007</v>
      </c>
      <c r="D8">
        <v>274.8</v>
      </c>
      <c r="E8" s="45"/>
      <c r="F8" s="45" t="s">
        <v>172</v>
      </c>
      <c r="H8" s="73">
        <f>G9*(C8-C9)+D9</f>
        <v>288.13138686131384</v>
      </c>
      <c r="I8" s="197">
        <f>D8/H8</f>
        <v>0.95373157014743892</v>
      </c>
      <c r="K8" t="s">
        <v>144</v>
      </c>
    </row>
    <row r="9" spans="1:11" x14ac:dyDescent="0.3">
      <c r="A9" t="s">
        <v>141</v>
      </c>
      <c r="B9" t="s">
        <v>121</v>
      </c>
      <c r="C9">
        <v>4009</v>
      </c>
      <c r="D9">
        <v>288.2</v>
      </c>
      <c r="E9" s="45"/>
      <c r="F9" s="73">
        <f>(C9-C3)/(D9-D3)</f>
        <v>29.148936170212778</v>
      </c>
      <c r="G9">
        <f>1/F9</f>
        <v>3.4306569343065682E-2</v>
      </c>
      <c r="K9" t="s">
        <v>143</v>
      </c>
    </row>
    <row r="10" spans="1:11" x14ac:dyDescent="0.3">
      <c r="A10" t="s">
        <v>141</v>
      </c>
      <c r="B10" t="s">
        <v>129</v>
      </c>
      <c r="C10">
        <v>4405</v>
      </c>
      <c r="D10">
        <v>277.2</v>
      </c>
      <c r="E10" s="45" t="s">
        <v>171</v>
      </c>
      <c r="F10" s="45"/>
      <c r="K10" t="s">
        <v>144</v>
      </c>
    </row>
    <row r="11" spans="1:11" x14ac:dyDescent="0.3">
      <c r="A11" t="s">
        <v>141</v>
      </c>
      <c r="B11" t="s">
        <v>120</v>
      </c>
      <c r="C11">
        <v>4853</v>
      </c>
      <c r="D11">
        <v>302.7</v>
      </c>
      <c r="E11" s="45"/>
      <c r="F11" s="73">
        <f>(C11-C9)/(D11-D9)</f>
        <v>58.206896551724135</v>
      </c>
      <c r="G11">
        <f>1/F11</f>
        <v>1.7180094786729858E-2</v>
      </c>
      <c r="K11" t="s">
        <v>143</v>
      </c>
    </row>
    <row r="12" spans="1:11" x14ac:dyDescent="0.3">
      <c r="A12" t="s">
        <v>141</v>
      </c>
      <c r="B12" t="s">
        <v>132</v>
      </c>
      <c r="C12">
        <v>4926</v>
      </c>
      <c r="D12">
        <v>250</v>
      </c>
      <c r="E12" s="45" t="s">
        <v>171</v>
      </c>
      <c r="F12" s="45"/>
      <c r="K12" t="s">
        <v>144</v>
      </c>
    </row>
    <row r="13" spans="1:11" x14ac:dyDescent="0.3">
      <c r="A13" t="s">
        <v>141</v>
      </c>
      <c r="B13" t="s">
        <v>124</v>
      </c>
      <c r="C13">
        <v>5104</v>
      </c>
      <c r="D13">
        <v>303.2</v>
      </c>
      <c r="E13" s="45"/>
      <c r="F13" s="45" t="s">
        <v>172</v>
      </c>
      <c r="H13" s="73">
        <f>G19*(C13-C19)+D19</f>
        <v>303.84090909090907</v>
      </c>
      <c r="I13" s="198">
        <f>D13/H13</f>
        <v>0.99789064253122906</v>
      </c>
      <c r="J13" s="45">
        <f>(C13-C11)/(D13-D11)</f>
        <v>502</v>
      </c>
      <c r="K13" t="s">
        <v>146</v>
      </c>
    </row>
    <row r="14" spans="1:11" x14ac:dyDescent="0.3">
      <c r="A14" t="s">
        <v>141</v>
      </c>
      <c r="B14" t="s">
        <v>135</v>
      </c>
      <c r="C14">
        <v>5256</v>
      </c>
      <c r="D14">
        <v>250.6</v>
      </c>
      <c r="E14" s="45" t="s">
        <v>171</v>
      </c>
      <c r="F14" s="45"/>
      <c r="K14" t="s">
        <v>144</v>
      </c>
    </row>
    <row r="15" spans="1:11" x14ac:dyDescent="0.3">
      <c r="A15" t="s">
        <v>141</v>
      </c>
      <c r="B15" t="s">
        <v>136</v>
      </c>
      <c r="C15">
        <v>5468</v>
      </c>
      <c r="D15">
        <v>250.8</v>
      </c>
      <c r="E15" s="45" t="s">
        <v>171</v>
      </c>
      <c r="F15" s="45"/>
      <c r="K15" t="s">
        <v>144</v>
      </c>
    </row>
    <row r="16" spans="1:11" x14ac:dyDescent="0.3">
      <c r="A16" t="s">
        <v>141</v>
      </c>
      <c r="B16" t="s">
        <v>125</v>
      </c>
      <c r="C16">
        <v>5959</v>
      </c>
      <c r="D16">
        <v>285.5</v>
      </c>
      <c r="E16" s="45" t="s">
        <v>171</v>
      </c>
      <c r="F16" s="45"/>
      <c r="K16" t="s">
        <v>144</v>
      </c>
    </row>
    <row r="17" spans="1:11" x14ac:dyDescent="0.3">
      <c r="A17" t="s">
        <v>141</v>
      </c>
      <c r="B17" t="s">
        <v>128</v>
      </c>
      <c r="C17">
        <v>6289</v>
      </c>
      <c r="D17">
        <v>286.10000000000002</v>
      </c>
      <c r="E17" s="45" t="s">
        <v>171</v>
      </c>
      <c r="F17" s="45"/>
      <c r="K17" t="s">
        <v>144</v>
      </c>
    </row>
    <row r="18" spans="1:11" x14ac:dyDescent="0.3">
      <c r="A18" t="s">
        <v>141</v>
      </c>
      <c r="B18" t="s">
        <v>131</v>
      </c>
      <c r="C18">
        <v>6502</v>
      </c>
      <c r="D18">
        <v>286.3</v>
      </c>
      <c r="E18" s="45" t="s">
        <v>171</v>
      </c>
      <c r="F18" s="45"/>
      <c r="K18" t="s">
        <v>144</v>
      </c>
    </row>
    <row r="19" spans="1:11" x14ac:dyDescent="0.3">
      <c r="A19" t="s">
        <v>141</v>
      </c>
      <c r="B19" t="s">
        <v>119</v>
      </c>
      <c r="C19">
        <v>7009</v>
      </c>
      <c r="D19">
        <v>312.5</v>
      </c>
      <c r="E19" s="45"/>
      <c r="F19" s="73">
        <f>(C19-C11)/(D19-D11)</f>
        <v>219.99999999999974</v>
      </c>
      <c r="G19">
        <f>1/F19</f>
        <v>4.5454545454545504E-3</v>
      </c>
      <c r="K19" t="s">
        <v>143</v>
      </c>
    </row>
    <row r="20" spans="1:11" x14ac:dyDescent="0.3">
      <c r="A20" t="s">
        <v>141</v>
      </c>
      <c r="B20" t="s">
        <v>122</v>
      </c>
      <c r="C20">
        <v>7339</v>
      </c>
      <c r="D20">
        <v>313.10000000000002</v>
      </c>
      <c r="E20" s="45"/>
      <c r="F20" s="73">
        <f>(C20-C19)/(D20-D19)</f>
        <v>549.9999999999792</v>
      </c>
      <c r="G20">
        <f>1/F20</f>
        <v>1.8181818181818869E-3</v>
      </c>
      <c r="K20" t="s">
        <v>143</v>
      </c>
    </row>
    <row r="21" spans="1:11" x14ac:dyDescent="0.3">
      <c r="A21" t="s">
        <v>141</v>
      </c>
      <c r="B21" t="s">
        <v>123</v>
      </c>
      <c r="C21">
        <v>7552</v>
      </c>
      <c r="D21">
        <v>313.3</v>
      </c>
      <c r="E21" s="45"/>
      <c r="F21" s="73">
        <f>(C21-C20)/(D21-D20)</f>
        <v>1065.0000000000605</v>
      </c>
      <c r="G21">
        <f>1/F21</f>
        <v>9.3896713615018138E-4</v>
      </c>
      <c r="K21" t="s">
        <v>143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6A4F-2ECE-4AA6-9837-C62E2F8CE7EE}">
  <dimension ref="A1:K21"/>
  <sheetViews>
    <sheetView zoomScale="90" zoomScaleNormal="90" workbookViewId="0">
      <selection activeCell="G3" sqref="G3"/>
    </sheetView>
  </sheetViews>
  <sheetFormatPr defaultRowHeight="14.4" x14ac:dyDescent="0.3"/>
  <cols>
    <col min="2" max="2" width="16.109375" bestFit="1" customWidth="1"/>
    <col min="5" max="5" width="18.33203125" bestFit="1" customWidth="1"/>
    <col min="6" max="6" width="17.33203125" customWidth="1"/>
    <col min="9" max="9" width="15.33203125" customWidth="1"/>
  </cols>
  <sheetData>
    <row r="1" spans="1:11" ht="72" x14ac:dyDescent="0.3">
      <c r="A1" s="126" t="s">
        <v>116</v>
      </c>
      <c r="B1" s="126" t="s">
        <v>117</v>
      </c>
      <c r="C1" s="126" t="s">
        <v>164</v>
      </c>
      <c r="D1" s="126" t="s">
        <v>21</v>
      </c>
      <c r="E1" s="126" t="s">
        <v>165</v>
      </c>
      <c r="F1" s="126" t="s">
        <v>166</v>
      </c>
      <c r="G1" s="126" t="s">
        <v>167</v>
      </c>
      <c r="H1" s="126" t="s">
        <v>168</v>
      </c>
      <c r="I1" s="126" t="s">
        <v>169</v>
      </c>
      <c r="J1" s="126" t="s">
        <v>173</v>
      </c>
      <c r="K1" s="126" t="s">
        <v>170</v>
      </c>
    </row>
    <row r="2" spans="1:11" x14ac:dyDescent="0.3">
      <c r="A2" t="s">
        <v>142</v>
      </c>
      <c r="B2" t="s">
        <v>134</v>
      </c>
      <c r="C2">
        <v>3079</v>
      </c>
      <c r="D2">
        <v>214.1</v>
      </c>
      <c r="F2" s="45"/>
      <c r="G2" s="45"/>
      <c r="H2" s="45"/>
      <c r="I2" s="45"/>
      <c r="J2" s="45"/>
      <c r="K2" t="s">
        <v>143</v>
      </c>
    </row>
    <row r="3" spans="1:11" x14ac:dyDescent="0.3">
      <c r="A3" t="s">
        <v>142</v>
      </c>
      <c r="B3" t="s">
        <v>127</v>
      </c>
      <c r="C3">
        <v>3353</v>
      </c>
      <c r="D3">
        <v>228.4</v>
      </c>
      <c r="F3" s="45">
        <f>(C3-C2)/(D3-D2)</f>
        <v>19.160839160839146</v>
      </c>
      <c r="G3" s="45">
        <f>1/F3</f>
        <v>5.2189781021897849E-2</v>
      </c>
      <c r="H3" s="45"/>
      <c r="I3" s="45"/>
      <c r="J3" s="45"/>
      <c r="K3" t="s">
        <v>143</v>
      </c>
    </row>
    <row r="4" spans="1:11" x14ac:dyDescent="0.3">
      <c r="A4" t="s">
        <v>142</v>
      </c>
      <c r="B4" t="s">
        <v>138</v>
      </c>
      <c r="C4">
        <v>3359</v>
      </c>
      <c r="D4">
        <v>215.6</v>
      </c>
      <c r="E4" s="45" t="s">
        <v>171</v>
      </c>
      <c r="F4" s="45"/>
      <c r="G4" s="45"/>
      <c r="H4" s="45"/>
      <c r="I4" s="45"/>
      <c r="J4" s="45"/>
      <c r="K4" t="s">
        <v>144</v>
      </c>
    </row>
    <row r="5" spans="1:11" x14ac:dyDescent="0.3">
      <c r="A5" t="s">
        <v>142</v>
      </c>
      <c r="B5" t="s">
        <v>133</v>
      </c>
      <c r="C5">
        <v>3697</v>
      </c>
      <c r="D5">
        <v>225.7</v>
      </c>
      <c r="E5" s="45" t="s">
        <v>171</v>
      </c>
      <c r="F5" s="45"/>
      <c r="G5" s="45"/>
      <c r="H5" s="45"/>
      <c r="I5" s="45"/>
      <c r="J5" s="45"/>
      <c r="K5" t="s">
        <v>144</v>
      </c>
    </row>
    <row r="6" spans="1:11" x14ac:dyDescent="0.3">
      <c r="A6" t="s">
        <v>142</v>
      </c>
      <c r="B6" t="s">
        <v>130</v>
      </c>
      <c r="C6">
        <v>3779</v>
      </c>
      <c r="D6">
        <v>234</v>
      </c>
      <c r="F6" s="45" t="s">
        <v>172</v>
      </c>
      <c r="G6" s="45"/>
      <c r="H6" s="45">
        <f>G8*(C6-C8)+D8</f>
        <v>239.33475935828878</v>
      </c>
      <c r="I6" s="45">
        <f>D6/H6</f>
        <v>0.97771005192646276</v>
      </c>
      <c r="J6" s="45"/>
      <c r="K6" t="s">
        <v>144</v>
      </c>
    </row>
    <row r="7" spans="1:11" x14ac:dyDescent="0.3">
      <c r="A7" t="s">
        <v>142</v>
      </c>
      <c r="B7" t="s">
        <v>137</v>
      </c>
      <c r="C7">
        <v>3954</v>
      </c>
      <c r="D7">
        <v>226.5</v>
      </c>
      <c r="E7" s="45" t="s">
        <v>171</v>
      </c>
      <c r="F7" s="45"/>
      <c r="G7" s="45"/>
      <c r="H7" s="45"/>
      <c r="I7" s="45"/>
      <c r="J7" s="45"/>
      <c r="K7" t="s">
        <v>144</v>
      </c>
    </row>
    <row r="8" spans="1:11" x14ac:dyDescent="0.3">
      <c r="A8" t="s">
        <v>142</v>
      </c>
      <c r="B8" t="s">
        <v>126</v>
      </c>
      <c r="C8">
        <v>4101</v>
      </c>
      <c r="D8">
        <v>247.6</v>
      </c>
      <c r="F8" s="45">
        <f>(C8-C3)/(D8-D3)</f>
        <v>38.958333333333357</v>
      </c>
      <c r="G8" s="45">
        <f>1/F8</f>
        <v>2.5668449197860946E-2</v>
      </c>
      <c r="H8" s="45"/>
      <c r="I8" s="45"/>
      <c r="J8" s="45"/>
      <c r="K8" t="s">
        <v>143</v>
      </c>
    </row>
    <row r="9" spans="1:11" x14ac:dyDescent="0.3">
      <c r="A9" t="s">
        <v>142</v>
      </c>
      <c r="B9" t="s">
        <v>121</v>
      </c>
      <c r="C9">
        <v>4119</v>
      </c>
      <c r="D9">
        <v>244.1</v>
      </c>
      <c r="E9" s="45" t="s">
        <v>171</v>
      </c>
      <c r="F9" s="45"/>
      <c r="G9" s="45"/>
      <c r="H9" s="45"/>
      <c r="I9" s="45"/>
      <c r="J9" s="45"/>
      <c r="K9" t="s">
        <v>144</v>
      </c>
    </row>
    <row r="10" spans="1:11" x14ac:dyDescent="0.3">
      <c r="A10" t="s">
        <v>142</v>
      </c>
      <c r="B10" t="s">
        <v>129</v>
      </c>
      <c r="C10">
        <v>4485</v>
      </c>
      <c r="D10">
        <v>250.9</v>
      </c>
      <c r="F10" s="45" t="s">
        <v>172</v>
      </c>
      <c r="G10" s="45"/>
      <c r="H10" s="45">
        <f>G12*(C10-C12)+D12</f>
        <v>254.47206771463118</v>
      </c>
      <c r="I10" s="201">
        <f>D10/H10</f>
        <v>0.98596282984332506</v>
      </c>
      <c r="J10" s="45">
        <f>(C10-C8)/(D10-D8)</f>
        <v>116.36363636363596</v>
      </c>
      <c r="K10" t="s">
        <v>145</v>
      </c>
    </row>
    <row r="11" spans="1:11" x14ac:dyDescent="0.3">
      <c r="A11" t="s">
        <v>142</v>
      </c>
      <c r="B11" t="s">
        <v>132</v>
      </c>
      <c r="C11">
        <v>4923</v>
      </c>
      <c r="D11">
        <v>237.5</v>
      </c>
      <c r="E11" s="45" t="s">
        <v>171</v>
      </c>
      <c r="F11" s="45"/>
      <c r="G11" s="45"/>
      <c r="H11" s="45"/>
      <c r="I11" s="45"/>
      <c r="J11" s="45"/>
      <c r="K11" t="s">
        <v>144</v>
      </c>
    </row>
    <row r="12" spans="1:11" x14ac:dyDescent="0.3">
      <c r="A12" t="s">
        <v>142</v>
      </c>
      <c r="B12" t="s">
        <v>120</v>
      </c>
      <c r="C12">
        <v>4928</v>
      </c>
      <c r="D12">
        <v>262.39999999999998</v>
      </c>
      <c r="F12" s="45">
        <f>(C12-C8)/(D12-D8)</f>
        <v>55.878378378378443</v>
      </c>
      <c r="G12" s="45">
        <f>1/F12</f>
        <v>1.7896009673518721E-2</v>
      </c>
      <c r="H12" s="45"/>
      <c r="I12" s="45"/>
      <c r="J12" s="45"/>
      <c r="K12" t="s">
        <v>143</v>
      </c>
    </row>
    <row r="13" spans="1:11" x14ac:dyDescent="0.3">
      <c r="A13" t="s">
        <v>142</v>
      </c>
      <c r="B13" t="s">
        <v>124</v>
      </c>
      <c r="C13">
        <v>5185</v>
      </c>
      <c r="D13">
        <v>263.2</v>
      </c>
      <c r="F13" s="45" t="s">
        <v>172</v>
      </c>
      <c r="G13" s="45"/>
      <c r="H13" s="45">
        <f>G19*(C13-C19)+D19</f>
        <v>264.68195050946139</v>
      </c>
      <c r="I13" s="201">
        <f>D13/H13</f>
        <v>0.99440101409782977</v>
      </c>
      <c r="J13" s="45">
        <f>(C13-C12)/(D13-D12)</f>
        <v>321.24999999999545</v>
      </c>
      <c r="K13" t="s">
        <v>145</v>
      </c>
    </row>
    <row r="14" spans="1:11" x14ac:dyDescent="0.3">
      <c r="A14" t="s">
        <v>142</v>
      </c>
      <c r="B14" t="s">
        <v>135</v>
      </c>
      <c r="C14">
        <v>5271</v>
      </c>
      <c r="D14">
        <v>239</v>
      </c>
      <c r="E14" s="45" t="s">
        <v>171</v>
      </c>
      <c r="F14" s="45"/>
      <c r="G14" s="45"/>
      <c r="H14" s="45"/>
      <c r="I14" s="45"/>
      <c r="J14" s="45"/>
      <c r="K14" t="s">
        <v>144</v>
      </c>
    </row>
    <row r="15" spans="1:11" x14ac:dyDescent="0.3">
      <c r="A15" t="s">
        <v>142</v>
      </c>
      <c r="B15" t="s">
        <v>136</v>
      </c>
      <c r="C15">
        <v>5500</v>
      </c>
      <c r="D15">
        <v>239.2</v>
      </c>
      <c r="E15" s="45" t="s">
        <v>171</v>
      </c>
      <c r="F15" s="45"/>
      <c r="G15" s="45"/>
      <c r="H15" s="45"/>
      <c r="I15" s="45"/>
      <c r="J15" s="45"/>
      <c r="K15" t="s">
        <v>144</v>
      </c>
    </row>
    <row r="16" spans="1:11" x14ac:dyDescent="0.3">
      <c r="A16" t="s">
        <v>142</v>
      </c>
      <c r="B16" t="s">
        <v>125</v>
      </c>
      <c r="C16">
        <v>5948</v>
      </c>
      <c r="D16">
        <v>263.8</v>
      </c>
      <c r="F16" s="45" t="s">
        <v>172</v>
      </c>
      <c r="G16" s="45"/>
      <c r="H16" s="45">
        <f>G19*(C16-C19)+D19</f>
        <v>271.45676855895192</v>
      </c>
      <c r="I16" s="45">
        <f>D16/H16</f>
        <v>0.97179378285684892</v>
      </c>
      <c r="J16" s="45"/>
      <c r="K16" t="s">
        <v>144</v>
      </c>
    </row>
    <row r="17" spans="1:11" x14ac:dyDescent="0.3">
      <c r="A17" t="s">
        <v>142</v>
      </c>
      <c r="B17" t="s">
        <v>128</v>
      </c>
      <c r="C17">
        <v>6296</v>
      </c>
      <c r="D17">
        <v>265.3</v>
      </c>
      <c r="F17" s="45" t="s">
        <v>172</v>
      </c>
      <c r="G17" s="45"/>
      <c r="H17" s="45">
        <f>G19*(C17-C19)+D19</f>
        <v>274.54672489082969</v>
      </c>
      <c r="I17" s="45">
        <f>D17/H17</f>
        <v>0.96632003206555628</v>
      </c>
      <c r="J17" s="45"/>
      <c r="K17" t="s">
        <v>144</v>
      </c>
    </row>
    <row r="18" spans="1:11" x14ac:dyDescent="0.3">
      <c r="A18" t="s">
        <v>142</v>
      </c>
      <c r="B18" t="s">
        <v>131</v>
      </c>
      <c r="C18">
        <v>6525</v>
      </c>
      <c r="D18">
        <v>265.5</v>
      </c>
      <c r="F18" s="45" t="s">
        <v>172</v>
      </c>
      <c r="G18" s="45"/>
      <c r="H18" s="45">
        <f>G19*(C18-C19)+D19</f>
        <v>276.580058224163</v>
      </c>
      <c r="I18" s="45">
        <f>D18/H18</f>
        <v>0.95993905599953699</v>
      </c>
      <c r="J18" s="45"/>
      <c r="K18" t="s">
        <v>144</v>
      </c>
    </row>
    <row r="19" spans="1:11" x14ac:dyDescent="0.3">
      <c r="A19" t="s">
        <v>142</v>
      </c>
      <c r="B19" t="s">
        <v>119</v>
      </c>
      <c r="C19">
        <v>6989</v>
      </c>
      <c r="D19">
        <v>280.7</v>
      </c>
      <c r="F19" s="45">
        <f>(C19-C12)/(D19-D12)</f>
        <v>112.62295081967206</v>
      </c>
      <c r="G19" s="45">
        <f>1/F19</f>
        <v>8.8791848617176192E-3</v>
      </c>
      <c r="H19" s="45"/>
      <c r="I19" s="45"/>
      <c r="J19" s="45"/>
      <c r="K19" t="s">
        <v>143</v>
      </c>
    </row>
    <row r="20" spans="1:11" x14ac:dyDescent="0.3">
      <c r="A20" t="s">
        <v>142</v>
      </c>
      <c r="B20" t="s">
        <v>122</v>
      </c>
      <c r="C20">
        <v>7337</v>
      </c>
      <c r="D20">
        <v>282.2</v>
      </c>
      <c r="E20" s="45"/>
      <c r="F20" s="202">
        <f>(C20-C19)/(D20-D19)</f>
        <v>232</v>
      </c>
      <c r="G20" s="45">
        <f>1/F20</f>
        <v>4.3103448275862068E-3</v>
      </c>
      <c r="H20" s="45"/>
      <c r="I20" s="45"/>
      <c r="J20" s="45"/>
      <c r="K20" t="s">
        <v>143</v>
      </c>
    </row>
    <row r="21" spans="1:11" x14ac:dyDescent="0.3">
      <c r="A21" t="s">
        <v>142</v>
      </c>
      <c r="B21" t="s">
        <v>123</v>
      </c>
      <c r="C21">
        <v>7566</v>
      </c>
      <c r="D21">
        <v>282.39999999999998</v>
      </c>
      <c r="F21" s="45">
        <f>(C21-C19)/(D21-D19)</f>
        <v>339.41176470588465</v>
      </c>
      <c r="G21" s="45">
        <f>1/F21</f>
        <v>2.9462738301559593E-3</v>
      </c>
      <c r="H21" s="45"/>
      <c r="I21" s="45"/>
      <c r="J21" s="45"/>
      <c r="K21" t="s">
        <v>143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BFF4-64E4-424F-A2CC-D8B6B0711E90}">
  <dimension ref="A1:K19"/>
  <sheetViews>
    <sheetView zoomScale="90" zoomScaleNormal="90" workbookViewId="0">
      <selection activeCell="P2" sqref="P2"/>
    </sheetView>
  </sheetViews>
  <sheetFormatPr defaultRowHeight="14.4" x14ac:dyDescent="0.3"/>
  <cols>
    <col min="2" max="2" width="15" bestFit="1" customWidth="1"/>
    <col min="5" max="5" width="17.33203125" customWidth="1"/>
    <col min="6" max="6" width="15.6640625" customWidth="1"/>
    <col min="7" max="7" width="11.21875" customWidth="1"/>
    <col min="8" max="8" width="12" customWidth="1"/>
    <col min="9" max="9" width="14" customWidth="1"/>
    <col min="10" max="10" width="12" customWidth="1"/>
    <col min="11" max="11" width="11.21875" customWidth="1"/>
  </cols>
  <sheetData>
    <row r="1" spans="1:11" ht="72" x14ac:dyDescent="0.3">
      <c r="A1" s="126" t="s">
        <v>116</v>
      </c>
      <c r="B1" s="126" t="s">
        <v>117</v>
      </c>
      <c r="C1" s="126" t="s">
        <v>164</v>
      </c>
      <c r="D1" s="126" t="s">
        <v>21</v>
      </c>
      <c r="E1" s="126" t="s">
        <v>165</v>
      </c>
      <c r="F1" s="126" t="s">
        <v>166</v>
      </c>
      <c r="G1" s="126" t="s">
        <v>167</v>
      </c>
      <c r="H1" s="126" t="s">
        <v>168</v>
      </c>
      <c r="I1" s="126" t="s">
        <v>169</v>
      </c>
      <c r="J1" s="126" t="s">
        <v>173</v>
      </c>
      <c r="K1" s="126" t="s">
        <v>170</v>
      </c>
    </row>
    <row r="2" spans="1:11" x14ac:dyDescent="0.3">
      <c r="A2" t="s">
        <v>118</v>
      </c>
      <c r="B2" t="s">
        <v>134</v>
      </c>
      <c r="C2" s="49">
        <v>3013.7951376178999</v>
      </c>
      <c r="D2" s="196">
        <v>256.05537093211268</v>
      </c>
      <c r="F2" s="45"/>
      <c r="G2" s="45"/>
      <c r="H2" s="45"/>
      <c r="I2" s="45"/>
      <c r="J2" s="45"/>
      <c r="K2" t="s">
        <v>143</v>
      </c>
    </row>
    <row r="3" spans="1:11" x14ac:dyDescent="0.3">
      <c r="A3" t="s">
        <v>118</v>
      </c>
      <c r="B3" t="s">
        <v>127</v>
      </c>
      <c r="C3" s="49">
        <v>3228.3051976117999</v>
      </c>
      <c r="D3" s="196">
        <v>277.72917369409339</v>
      </c>
      <c r="F3" s="45">
        <f>(C3-C2)/(D3-D2)</f>
        <v>9.897204581476803</v>
      </c>
      <c r="G3" s="45">
        <f>1/F3</f>
        <v>0.10103863083436292</v>
      </c>
      <c r="H3" s="45"/>
      <c r="I3" s="45"/>
      <c r="J3" s="45"/>
      <c r="K3" t="s">
        <v>143</v>
      </c>
    </row>
    <row r="4" spans="1:11" x14ac:dyDescent="0.3">
      <c r="A4" t="s">
        <v>118</v>
      </c>
      <c r="B4" t="s">
        <v>138</v>
      </c>
      <c r="C4" s="49">
        <v>3331.2518483131998</v>
      </c>
      <c r="D4" s="196">
        <v>258.82320817405918</v>
      </c>
      <c r="E4" t="s">
        <v>171</v>
      </c>
      <c r="F4" s="45"/>
      <c r="G4" s="45"/>
      <c r="H4" s="45"/>
      <c r="I4" s="45"/>
      <c r="J4" s="45"/>
      <c r="K4" t="s">
        <v>144</v>
      </c>
    </row>
    <row r="5" spans="1:11" x14ac:dyDescent="0.3">
      <c r="A5" t="s">
        <v>118</v>
      </c>
      <c r="B5" t="s">
        <v>133</v>
      </c>
      <c r="C5" s="49">
        <v>3681.8186988288999</v>
      </c>
      <c r="D5" s="196">
        <v>267.32993072446408</v>
      </c>
      <c r="E5" t="s">
        <v>171</v>
      </c>
      <c r="F5" s="45"/>
      <c r="G5" s="45"/>
      <c r="H5" s="45"/>
      <c r="I5" s="45"/>
      <c r="J5" s="45"/>
      <c r="K5" t="s">
        <v>144</v>
      </c>
    </row>
    <row r="6" spans="1:11" x14ac:dyDescent="0.3">
      <c r="A6" t="s">
        <v>118</v>
      </c>
      <c r="B6" t="s">
        <v>130</v>
      </c>
      <c r="C6" s="49">
        <v>3706.7368043362999</v>
      </c>
      <c r="D6" s="196">
        <v>286.65340539718841</v>
      </c>
      <c r="F6" s="45" t="s">
        <v>172</v>
      </c>
      <c r="G6" s="45"/>
      <c r="H6" s="73">
        <f>G8*(C6-C8)+D8</f>
        <v>286.99573581532997</v>
      </c>
      <c r="I6" s="197">
        <f>D6/H6</f>
        <v>0.99880719336414869</v>
      </c>
      <c r="J6" s="73">
        <f>(C6-C3)/(D6-D3)</f>
        <v>53.610397246697978</v>
      </c>
      <c r="K6" t="s">
        <v>146</v>
      </c>
    </row>
    <row r="7" spans="1:11" x14ac:dyDescent="0.3">
      <c r="A7" t="s">
        <v>118</v>
      </c>
      <c r="B7" t="s">
        <v>137</v>
      </c>
      <c r="C7" s="49">
        <v>3964.6814490361999</v>
      </c>
      <c r="D7" s="196">
        <v>268.60118578955911</v>
      </c>
      <c r="E7" t="s">
        <v>171</v>
      </c>
      <c r="F7" s="45"/>
      <c r="G7" s="45"/>
      <c r="H7" s="45"/>
      <c r="I7" s="45"/>
      <c r="J7" s="45"/>
      <c r="K7" t="s">
        <v>144</v>
      </c>
    </row>
    <row r="8" spans="1:11" x14ac:dyDescent="0.3">
      <c r="A8" s="199" t="s">
        <v>118</v>
      </c>
      <c r="B8" s="199" t="s">
        <v>126</v>
      </c>
      <c r="C8" s="215">
        <v>4023.0400641921001</v>
      </c>
      <c r="D8" s="288">
        <v>293.12209487147652</v>
      </c>
      <c r="E8" s="199"/>
      <c r="F8" s="201">
        <f>(C8-C3)/(D8-D3)</f>
        <v>51.62989256048467</v>
      </c>
      <c r="G8" s="201">
        <f>1/F8</f>
        <v>1.9368624461662303E-2</v>
      </c>
      <c r="H8" s="289"/>
      <c r="I8" s="198"/>
      <c r="J8" s="201"/>
      <c r="K8" s="199" t="s">
        <v>143</v>
      </c>
    </row>
    <row r="9" spans="1:11" x14ac:dyDescent="0.3">
      <c r="A9" t="s">
        <v>118</v>
      </c>
      <c r="B9" t="s">
        <v>129</v>
      </c>
      <c r="C9" s="49">
        <v>4450.5929078542003</v>
      </c>
      <c r="D9" s="196">
        <v>297.84531671771521</v>
      </c>
      <c r="F9" s="45">
        <f>(C9-C8)/(D9-D8)</f>
        <v>90.521440148440149</v>
      </c>
      <c r="G9" s="45">
        <f>1/F9</f>
        <v>1.1047106612092846E-2</v>
      </c>
      <c r="H9" s="45"/>
      <c r="I9" s="45"/>
      <c r="J9" s="45"/>
      <c r="K9" t="s">
        <v>143</v>
      </c>
    </row>
    <row r="10" spans="1:11" x14ac:dyDescent="0.3">
      <c r="A10" t="s">
        <v>118</v>
      </c>
      <c r="B10" t="s">
        <v>132</v>
      </c>
      <c r="C10" s="49">
        <v>5003.9060157294998</v>
      </c>
      <c r="D10" s="196">
        <v>273.89182729422703</v>
      </c>
      <c r="E10" t="s">
        <v>171</v>
      </c>
      <c r="F10" s="45"/>
      <c r="G10" s="45"/>
      <c r="H10" s="45"/>
      <c r="I10" s="45"/>
      <c r="J10" s="45"/>
      <c r="K10" t="s">
        <v>144</v>
      </c>
    </row>
    <row r="11" spans="1:11" x14ac:dyDescent="0.3">
      <c r="A11" t="s">
        <v>118</v>
      </c>
      <c r="B11" t="s">
        <v>135</v>
      </c>
      <c r="C11" s="49">
        <v>5377.5421415410001</v>
      </c>
      <c r="D11" s="196">
        <v>275.30732269542762</v>
      </c>
      <c r="E11" t="s">
        <v>171</v>
      </c>
      <c r="F11" s="45"/>
      <c r="G11" s="45"/>
      <c r="H11" s="45"/>
      <c r="I11" s="45"/>
      <c r="J11" s="45"/>
      <c r="K11" t="s">
        <v>144</v>
      </c>
    </row>
    <row r="12" spans="1:11" x14ac:dyDescent="0.3">
      <c r="A12" t="s">
        <v>118</v>
      </c>
      <c r="B12" t="s">
        <v>136</v>
      </c>
      <c r="C12" s="49">
        <v>5626.3592210923998</v>
      </c>
      <c r="D12" s="196">
        <v>275.6457822481957</v>
      </c>
      <c r="E12" t="s">
        <v>171</v>
      </c>
      <c r="F12" s="45"/>
      <c r="G12" s="45"/>
      <c r="H12" s="45"/>
      <c r="I12" s="45"/>
      <c r="J12" s="45"/>
      <c r="K12" t="s">
        <v>144</v>
      </c>
    </row>
    <row r="13" spans="1:11" x14ac:dyDescent="0.3">
      <c r="A13" t="s">
        <v>118</v>
      </c>
      <c r="B13" t="s">
        <v>125</v>
      </c>
      <c r="C13" s="49">
        <v>6014.7839205541004</v>
      </c>
      <c r="D13" s="196">
        <v>304.73458819641849</v>
      </c>
      <c r="F13" s="45" t="s">
        <v>172</v>
      </c>
      <c r="G13" s="45"/>
      <c r="H13" s="73">
        <f>G14*(C13-C14)+D14</f>
        <v>304.93898862255674</v>
      </c>
      <c r="I13" s="197">
        <f>D13/H13</f>
        <v>0.99932970058351167</v>
      </c>
      <c r="J13" s="73">
        <f>(C13-C9)/(D13-D9)</f>
        <v>227.04737613189795</v>
      </c>
      <c r="K13" t="s">
        <v>146</v>
      </c>
    </row>
    <row r="14" spans="1:11" x14ac:dyDescent="0.3">
      <c r="A14" t="s">
        <v>118</v>
      </c>
      <c r="B14" t="s">
        <v>128</v>
      </c>
      <c r="C14" s="49">
        <v>6389.3889243903004</v>
      </c>
      <c r="D14" s="196">
        <v>306.63783804027531</v>
      </c>
      <c r="F14" s="45">
        <f>(C14-C9)/(D14-D9)</f>
        <v>220.50512536847435</v>
      </c>
      <c r="G14" s="45">
        <f>1/F14</f>
        <v>4.5350419784073196E-3</v>
      </c>
      <c r="H14" s="45"/>
      <c r="I14" s="45"/>
      <c r="J14" s="45"/>
      <c r="K14" t="s">
        <v>143</v>
      </c>
    </row>
    <row r="15" spans="1:11" x14ac:dyDescent="0.3">
      <c r="A15" t="s">
        <v>118</v>
      </c>
      <c r="B15" t="s">
        <v>131</v>
      </c>
      <c r="C15" s="49">
        <v>6637.1301047050001</v>
      </c>
      <c r="D15" s="196">
        <v>306.80388430443008</v>
      </c>
      <c r="F15" s="45">
        <f>(C15-C14)/(D15-D14)</f>
        <v>1492.0009286314271</v>
      </c>
      <c r="G15" s="45">
        <f>1/F15</f>
        <v>6.7024086970057957E-4</v>
      </c>
      <c r="H15" s="45"/>
      <c r="I15" s="45"/>
      <c r="J15" s="45"/>
      <c r="K15" t="s">
        <v>143</v>
      </c>
    </row>
    <row r="19" spans="1:1" x14ac:dyDescent="0.3">
      <c r="A19" t="s">
        <v>273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674C1-F819-4D7E-B3BE-6E35EB191A45}">
  <dimension ref="A1:N8"/>
  <sheetViews>
    <sheetView zoomScale="90" zoomScaleNormal="90" workbookViewId="0">
      <selection activeCell="D3" sqref="D3"/>
    </sheetView>
  </sheetViews>
  <sheetFormatPr defaultRowHeight="14.4" x14ac:dyDescent="0.3"/>
  <cols>
    <col min="1" max="1" width="11.5546875" customWidth="1"/>
    <col min="2" max="2" width="19.21875" customWidth="1"/>
    <col min="5" max="5" width="17.33203125" customWidth="1"/>
    <col min="6" max="6" width="15.6640625" customWidth="1"/>
    <col min="7" max="7" width="11.21875" customWidth="1"/>
    <col min="8" max="8" width="12" customWidth="1"/>
    <col min="9" max="9" width="14" customWidth="1"/>
    <col min="10" max="10" width="12" customWidth="1"/>
    <col min="11" max="11" width="11.21875" customWidth="1"/>
    <col min="12" max="12" width="10.44140625" customWidth="1"/>
  </cols>
  <sheetData>
    <row r="1" spans="1:14" ht="72" x14ac:dyDescent="0.3">
      <c r="A1" s="126" t="s">
        <v>116</v>
      </c>
      <c r="B1" s="126" t="s">
        <v>117</v>
      </c>
      <c r="C1" s="126" t="s">
        <v>164</v>
      </c>
      <c r="D1" s="126" t="s">
        <v>21</v>
      </c>
      <c r="E1" s="126" t="s">
        <v>165</v>
      </c>
      <c r="F1" s="126" t="s">
        <v>166</v>
      </c>
      <c r="G1" s="126" t="s">
        <v>167</v>
      </c>
      <c r="H1" s="126" t="s">
        <v>168</v>
      </c>
      <c r="I1" s="126" t="s">
        <v>169</v>
      </c>
      <c r="J1" s="126" t="s">
        <v>173</v>
      </c>
      <c r="K1" s="126" t="s">
        <v>170</v>
      </c>
      <c r="L1" s="126" t="s">
        <v>339</v>
      </c>
      <c r="M1" s="126" t="s">
        <v>276</v>
      </c>
      <c r="N1" s="126" t="s">
        <v>338</v>
      </c>
    </row>
    <row r="2" spans="1:14" x14ac:dyDescent="0.3">
      <c r="A2" s="110" t="s">
        <v>118</v>
      </c>
      <c r="B2" s="110" t="s">
        <v>127</v>
      </c>
      <c r="C2" s="283">
        <v>3228.3051976117999</v>
      </c>
      <c r="D2" s="284">
        <v>277.72917369409339</v>
      </c>
      <c r="E2" s="110"/>
      <c r="F2" s="220"/>
      <c r="G2" s="220"/>
      <c r="H2" s="220"/>
      <c r="I2" s="220"/>
      <c r="J2" s="220"/>
      <c r="K2" s="110" t="s">
        <v>143</v>
      </c>
      <c r="L2" s="305">
        <v>31.671557587752229</v>
      </c>
      <c r="M2" s="306">
        <v>6.1012431004924013</v>
      </c>
      <c r="N2" s="246">
        <f>$L$2-M2</f>
        <v>25.570314487259829</v>
      </c>
    </row>
    <row r="3" spans="1:14" x14ac:dyDescent="0.3">
      <c r="A3" s="110" t="s">
        <v>118</v>
      </c>
      <c r="B3" s="110" t="s">
        <v>126</v>
      </c>
      <c r="C3" s="283">
        <v>4023.0400641921001</v>
      </c>
      <c r="D3" s="284">
        <v>293.12209487147652</v>
      </c>
      <c r="E3" s="110"/>
      <c r="F3" s="220">
        <f>(C3-C2)/(D3-D2)</f>
        <v>51.62989256048467</v>
      </c>
      <c r="G3" s="220">
        <f>1/F3</f>
        <v>1.9368624461662303E-2</v>
      </c>
      <c r="H3" s="285"/>
      <c r="I3" s="286"/>
      <c r="J3" s="220"/>
      <c r="K3" s="110" t="s">
        <v>143</v>
      </c>
      <c r="L3" s="6"/>
      <c r="M3" s="306">
        <v>4.2203582263638237</v>
      </c>
      <c r="N3" s="246">
        <f t="shared" ref="N3:N4" si="0">$L$2-M3</f>
        <v>27.451199361388404</v>
      </c>
    </row>
    <row r="4" spans="1:14" x14ac:dyDescent="0.3">
      <c r="A4" s="110" t="s">
        <v>118</v>
      </c>
      <c r="B4" s="110" t="s">
        <v>125</v>
      </c>
      <c r="C4" s="283">
        <v>6014.7839205541004</v>
      </c>
      <c r="D4" s="284">
        <v>304.73458819641849</v>
      </c>
      <c r="E4" s="110"/>
      <c r="F4" s="220">
        <f>(C4-C3)/(D4-D3)</f>
        <v>171.5173305705176</v>
      </c>
      <c r="G4" s="220">
        <f>1/F4</f>
        <v>5.8303146199494994E-3</v>
      </c>
      <c r="H4" s="285"/>
      <c r="I4" s="286"/>
      <c r="J4" s="285"/>
      <c r="K4" s="110" t="s">
        <v>143</v>
      </c>
      <c r="L4" s="6"/>
      <c r="M4" s="306">
        <v>2.824687880649118</v>
      </c>
      <c r="N4" s="246">
        <f t="shared" si="0"/>
        <v>28.84686970710311</v>
      </c>
    </row>
    <row r="5" spans="1:14" x14ac:dyDescent="0.3">
      <c r="C5" s="49"/>
      <c r="D5" s="196"/>
      <c r="F5" s="45"/>
      <c r="G5" s="45"/>
      <c r="H5" s="45"/>
      <c r="I5" s="45"/>
      <c r="J5" s="45"/>
    </row>
    <row r="6" spans="1:14" x14ac:dyDescent="0.3">
      <c r="C6" s="49"/>
      <c r="D6" s="196"/>
      <c r="F6" s="45"/>
      <c r="G6" s="45"/>
      <c r="H6" s="73"/>
      <c r="I6" s="197"/>
      <c r="J6" s="73"/>
    </row>
    <row r="7" spans="1:14" x14ac:dyDescent="0.3">
      <c r="C7" s="49"/>
      <c r="D7" s="196"/>
      <c r="F7" s="45"/>
      <c r="G7" s="45"/>
      <c r="H7" s="45"/>
      <c r="I7" s="45"/>
      <c r="J7" s="45"/>
    </row>
    <row r="8" spans="1:14" x14ac:dyDescent="0.3">
      <c r="A8" t="s">
        <v>273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61044-1B9F-4A34-BD44-019687DDCD96}">
  <dimension ref="A1:L16"/>
  <sheetViews>
    <sheetView workbookViewId="0">
      <selection activeCell="K22" sqref="K22"/>
    </sheetView>
  </sheetViews>
  <sheetFormatPr defaultRowHeight="14.4" x14ac:dyDescent="0.3"/>
  <cols>
    <col min="5" max="5" width="17.21875" bestFit="1" customWidth="1"/>
    <col min="6" max="6" width="12.77734375" customWidth="1"/>
    <col min="8" max="8" width="14.5546875" customWidth="1"/>
    <col min="9" max="9" width="20" customWidth="1"/>
    <col min="10" max="10" width="13" customWidth="1"/>
    <col min="11" max="11" width="11.33203125" customWidth="1"/>
  </cols>
  <sheetData>
    <row r="1" spans="1:12" x14ac:dyDescent="0.3">
      <c r="A1" s="282"/>
      <c r="B1" s="282"/>
      <c r="C1" s="282"/>
      <c r="D1" s="282"/>
      <c r="E1" s="282"/>
      <c r="F1" s="282"/>
      <c r="G1" s="282"/>
      <c r="H1" s="282"/>
      <c r="I1" s="282"/>
      <c r="J1" s="282"/>
      <c r="K1" s="282"/>
      <c r="L1" s="110"/>
    </row>
    <row r="2" spans="1:12" x14ac:dyDescent="0.3">
      <c r="A2" s="110"/>
      <c r="B2" s="110"/>
      <c r="C2" s="110"/>
      <c r="D2" s="110"/>
      <c r="E2" s="110"/>
      <c r="F2" s="110"/>
      <c r="G2" s="110"/>
      <c r="H2" s="110"/>
      <c r="I2" s="110"/>
      <c r="J2" s="110"/>
      <c r="K2" s="110"/>
      <c r="L2" s="110"/>
    </row>
    <row r="3" spans="1:12" x14ac:dyDescent="0.3">
      <c r="A3" s="110"/>
      <c r="B3" s="110"/>
      <c r="C3" s="110"/>
      <c r="D3" s="110"/>
      <c r="E3" s="110"/>
      <c r="F3" s="110"/>
      <c r="G3" s="110"/>
      <c r="H3" s="110"/>
      <c r="I3" s="110"/>
      <c r="J3" s="110"/>
      <c r="K3" s="110"/>
      <c r="L3" s="110"/>
    </row>
    <row r="4" spans="1:12" x14ac:dyDescent="0.3">
      <c r="A4" s="110"/>
      <c r="B4" s="110"/>
      <c r="C4" s="110"/>
      <c r="D4" s="110"/>
      <c r="E4" s="110"/>
      <c r="F4" s="110"/>
      <c r="G4" s="110"/>
      <c r="H4" s="110"/>
      <c r="I4" s="110"/>
      <c r="J4" s="110"/>
      <c r="K4" s="110"/>
      <c r="L4" s="110"/>
    </row>
    <row r="5" spans="1:12" x14ac:dyDescent="0.3">
      <c r="A5" s="110"/>
      <c r="B5" s="110"/>
      <c r="C5" s="110"/>
      <c r="D5" s="110"/>
      <c r="E5" s="110"/>
      <c r="F5" s="110"/>
      <c r="G5" s="110"/>
      <c r="H5" s="110"/>
      <c r="I5" s="110"/>
      <c r="J5" s="110"/>
      <c r="K5" s="110"/>
      <c r="L5" s="110"/>
    </row>
    <row r="6" spans="1:12" x14ac:dyDescent="0.3">
      <c r="A6" s="110"/>
      <c r="B6" s="110"/>
      <c r="C6" s="110"/>
      <c r="D6" s="110"/>
      <c r="E6" s="110"/>
      <c r="F6" s="220"/>
      <c r="G6" s="110"/>
      <c r="H6" s="110"/>
      <c r="I6" s="110"/>
      <c r="J6" s="110"/>
      <c r="K6" s="110"/>
      <c r="L6" s="110"/>
    </row>
    <row r="7" spans="1:12" x14ac:dyDescent="0.3">
      <c r="A7" s="110"/>
      <c r="B7" s="110"/>
      <c r="C7" s="110"/>
      <c r="D7" s="110"/>
      <c r="E7" s="110"/>
      <c r="F7" s="110"/>
      <c r="G7" s="110"/>
      <c r="H7" s="110"/>
      <c r="I7" s="110"/>
      <c r="J7" s="110"/>
      <c r="K7" s="110"/>
      <c r="L7" s="110"/>
    </row>
    <row r="8" spans="1:12" x14ac:dyDescent="0.3">
      <c r="A8" s="110"/>
      <c r="B8" s="110"/>
      <c r="C8" s="110"/>
      <c r="D8" s="110"/>
      <c r="E8" s="110"/>
      <c r="F8" s="110"/>
      <c r="G8" s="110"/>
      <c r="H8" s="110"/>
      <c r="I8" s="110"/>
      <c r="J8" s="110"/>
      <c r="K8" s="110"/>
      <c r="L8" s="110"/>
    </row>
    <row r="9" spans="1:12" x14ac:dyDescent="0.3">
      <c r="A9" s="110"/>
      <c r="B9" s="110"/>
      <c r="C9" s="110"/>
      <c r="D9" s="110"/>
      <c r="E9" s="110"/>
      <c r="F9" s="110"/>
      <c r="G9" s="110"/>
      <c r="H9" s="110"/>
      <c r="I9" s="110"/>
      <c r="J9" s="110"/>
      <c r="K9" s="110"/>
      <c r="L9" s="110"/>
    </row>
    <row r="10" spans="1:12" x14ac:dyDescent="0.3">
      <c r="A10" s="110"/>
      <c r="B10" s="110"/>
      <c r="C10" s="110"/>
      <c r="D10" s="110"/>
      <c r="E10" s="110"/>
      <c r="F10" s="110"/>
      <c r="G10" s="110"/>
      <c r="H10" s="110"/>
      <c r="I10" s="110"/>
      <c r="J10" s="110"/>
      <c r="K10" s="110"/>
      <c r="L10" s="110"/>
    </row>
    <row r="11" spans="1:12" x14ac:dyDescent="0.3">
      <c r="A11" s="110"/>
      <c r="B11" s="110"/>
      <c r="C11" s="110"/>
      <c r="D11" s="110"/>
      <c r="E11" s="110"/>
      <c r="F11" s="110"/>
      <c r="G11" s="110"/>
      <c r="H11" s="110"/>
      <c r="I11" s="110"/>
      <c r="J11" s="110"/>
      <c r="K11" s="110"/>
      <c r="L11" s="110"/>
    </row>
    <row r="12" spans="1:12" x14ac:dyDescent="0.3">
      <c r="A12" s="110"/>
      <c r="B12" s="110"/>
      <c r="C12" s="110"/>
      <c r="D12" s="110"/>
      <c r="E12" s="110"/>
      <c r="F12" s="110"/>
      <c r="G12" s="110"/>
      <c r="H12" s="110"/>
      <c r="I12" s="110"/>
      <c r="J12" s="110"/>
      <c r="K12" s="110"/>
      <c r="L12" s="110"/>
    </row>
    <row r="13" spans="1:12" x14ac:dyDescent="0.3">
      <c r="A13" s="110"/>
      <c r="B13" s="110"/>
      <c r="C13" s="110"/>
      <c r="D13" s="110"/>
      <c r="E13" s="110"/>
      <c r="F13" s="110"/>
      <c r="G13" s="110"/>
      <c r="H13" s="110"/>
      <c r="I13" s="110"/>
      <c r="J13" s="110"/>
      <c r="K13" s="110"/>
      <c r="L13" s="110"/>
    </row>
    <row r="14" spans="1:12" x14ac:dyDescent="0.3">
      <c r="A14" s="110"/>
      <c r="B14" s="110"/>
      <c r="C14" s="110"/>
      <c r="D14" s="110"/>
      <c r="E14" s="110"/>
      <c r="F14" s="110"/>
      <c r="G14" s="110"/>
      <c r="H14" s="110"/>
      <c r="I14" s="110"/>
      <c r="J14" s="110"/>
      <c r="K14" s="110"/>
      <c r="L14" s="110"/>
    </row>
    <row r="15" spans="1:12" x14ac:dyDescent="0.3">
      <c r="A15" s="110"/>
      <c r="B15" s="110"/>
      <c r="C15" s="110"/>
      <c r="D15" s="110"/>
      <c r="E15" s="110"/>
      <c r="F15" s="110"/>
      <c r="G15" s="110"/>
      <c r="H15" s="110"/>
      <c r="I15" s="110"/>
      <c r="J15" s="110"/>
      <c r="K15" s="110"/>
      <c r="L15" s="110"/>
    </row>
    <row r="16" spans="1:12" x14ac:dyDescent="0.3">
      <c r="A16" s="110"/>
      <c r="B16" s="110"/>
      <c r="C16" s="110"/>
      <c r="D16" s="110"/>
      <c r="E16" s="110"/>
      <c r="F16" s="110"/>
      <c r="G16" s="110"/>
      <c r="H16" s="110"/>
      <c r="I16" s="110"/>
      <c r="J16" s="110"/>
      <c r="K16" s="110"/>
      <c r="L16" s="110"/>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06085-9D18-4CDC-807C-CC7756895737}">
  <dimension ref="A1:Q55"/>
  <sheetViews>
    <sheetView tabSelected="1" topLeftCell="A22" zoomScale="80" zoomScaleNormal="80" workbookViewId="0">
      <selection activeCell="P39" sqref="P39"/>
    </sheetView>
  </sheetViews>
  <sheetFormatPr defaultRowHeight="14.4" x14ac:dyDescent="0.3"/>
  <cols>
    <col min="1" max="1" width="10.44140625" customWidth="1"/>
    <col min="2" max="2" width="17.109375" customWidth="1"/>
    <col min="3" max="3" width="13.33203125" customWidth="1"/>
    <col min="4" max="4" width="12.5546875" customWidth="1"/>
    <col min="5" max="5" width="18.33203125" bestFit="1" customWidth="1"/>
    <col min="6" max="6" width="17.6640625" bestFit="1" customWidth="1"/>
    <col min="7" max="7" width="12.77734375" customWidth="1"/>
    <col min="8" max="8" width="13.44140625" customWidth="1"/>
    <col min="9" max="9" width="16.109375" customWidth="1"/>
    <col min="10" max="10" width="13.77734375" customWidth="1"/>
    <col min="13" max="13" width="10" customWidth="1"/>
    <col min="14" max="14" width="10.33203125" customWidth="1"/>
  </cols>
  <sheetData>
    <row r="1" spans="1:17" ht="72" x14ac:dyDescent="0.3">
      <c r="A1" s="126" t="s">
        <v>116</v>
      </c>
      <c r="B1" s="126" t="s">
        <v>117</v>
      </c>
      <c r="C1" s="126" t="s">
        <v>164</v>
      </c>
      <c r="D1" s="126" t="s">
        <v>21</v>
      </c>
      <c r="E1" s="126" t="s">
        <v>165</v>
      </c>
      <c r="F1" s="126" t="s">
        <v>166</v>
      </c>
      <c r="G1" s="126" t="s">
        <v>167</v>
      </c>
      <c r="H1" s="126" t="s">
        <v>168</v>
      </c>
      <c r="I1" s="126" t="s">
        <v>169</v>
      </c>
      <c r="J1" s="126" t="s">
        <v>173</v>
      </c>
      <c r="K1" s="126" t="s">
        <v>170</v>
      </c>
      <c r="L1" s="126" t="s">
        <v>276</v>
      </c>
      <c r="M1" s="252" t="s">
        <v>277</v>
      </c>
      <c r="N1" s="252" t="s">
        <v>278</v>
      </c>
      <c r="O1" s="252" t="s">
        <v>336</v>
      </c>
      <c r="P1" s="126" t="s">
        <v>355</v>
      </c>
      <c r="Q1" s="126" t="s">
        <v>356</v>
      </c>
    </row>
    <row r="2" spans="1:17" x14ac:dyDescent="0.3">
      <c r="A2" t="s">
        <v>118</v>
      </c>
      <c r="B2" t="s">
        <v>287</v>
      </c>
      <c r="C2" s="298">
        <v>954.43300472134001</v>
      </c>
      <c r="D2">
        <v>170.63550536130001</v>
      </c>
      <c r="F2" s="45"/>
      <c r="G2" s="45"/>
      <c r="K2" t="s">
        <v>143</v>
      </c>
      <c r="L2">
        <v>15.4</v>
      </c>
      <c r="M2" s="254">
        <v>31.671557587752201</v>
      </c>
      <c r="N2" s="196">
        <f>$M$2-L2</f>
        <v>16.271557587752199</v>
      </c>
      <c r="O2">
        <v>5305.0370800064002</v>
      </c>
      <c r="P2" s="284">
        <v>293.12209487147652</v>
      </c>
      <c r="Q2">
        <f>D2/P2</f>
        <v>0.58213116086017846</v>
      </c>
    </row>
    <row r="3" spans="1:17" x14ac:dyDescent="0.3">
      <c r="A3" t="s">
        <v>118</v>
      </c>
      <c r="B3" t="s">
        <v>288</v>
      </c>
      <c r="C3">
        <v>1057.4357510821001</v>
      </c>
      <c r="D3">
        <v>184.40088629828</v>
      </c>
      <c r="F3" s="45" t="s">
        <v>172</v>
      </c>
      <c r="G3" s="45"/>
      <c r="H3">
        <f>G5*(C3-C5)+D5</f>
        <v>188.17232369933933</v>
      </c>
      <c r="I3" s="202">
        <f>D3/H3</f>
        <v>0.97995753399375929</v>
      </c>
      <c r="K3" t="s">
        <v>144</v>
      </c>
      <c r="L3">
        <v>13.2</v>
      </c>
      <c r="N3" s="196">
        <f t="shared" ref="N3:N55" si="0">$M$2-L3</f>
        <v>18.471557587752201</v>
      </c>
      <c r="O3">
        <v>6262.977743724</v>
      </c>
      <c r="P3" s="284">
        <v>293.12209487147652</v>
      </c>
      <c r="Q3">
        <f t="shared" ref="Q3:Q55" si="1">D3/P3</f>
        <v>0.62909241413252437</v>
      </c>
    </row>
    <row r="4" spans="1:17" x14ac:dyDescent="0.3">
      <c r="A4" t="s">
        <v>118</v>
      </c>
      <c r="B4" t="s">
        <v>289</v>
      </c>
      <c r="C4">
        <v>1109.9239684086001</v>
      </c>
      <c r="D4">
        <v>189.42835014573001</v>
      </c>
      <c r="F4" s="45" t="s">
        <v>172</v>
      </c>
      <c r="G4" s="45"/>
      <c r="H4">
        <f>G5*(C4-C5)+D5</f>
        <v>197.10874884006765</v>
      </c>
      <c r="I4" s="202">
        <f>D4/H4</f>
        <v>0.9610347143922594</v>
      </c>
      <c r="K4" t="s">
        <v>144</v>
      </c>
      <c r="L4">
        <v>12.2</v>
      </c>
      <c r="N4" s="196">
        <f t="shared" si="0"/>
        <v>19.471557587752201</v>
      </c>
      <c r="O4">
        <v>6851.2880804221004</v>
      </c>
      <c r="P4" s="284">
        <v>293.12209487147652</v>
      </c>
      <c r="Q4">
        <f t="shared" si="1"/>
        <v>0.6462438467110011</v>
      </c>
    </row>
    <row r="5" spans="1:17" x14ac:dyDescent="0.3">
      <c r="A5" t="s">
        <v>118</v>
      </c>
      <c r="B5" t="s">
        <v>290</v>
      </c>
      <c r="C5">
        <v>1135.1323754159</v>
      </c>
      <c r="D5">
        <v>201.40062716271001</v>
      </c>
      <c r="F5" s="45">
        <f>(C5-C2)/(D5-D2)</f>
        <v>5.8735139051612117</v>
      </c>
      <c r="G5" s="45">
        <f>1/F5</f>
        <v>0.17025583256409313</v>
      </c>
      <c r="K5" t="s">
        <v>143</v>
      </c>
      <c r="L5">
        <v>13.3</v>
      </c>
      <c r="N5" s="196">
        <f t="shared" si="0"/>
        <v>18.3715575877522</v>
      </c>
      <c r="O5">
        <v>6865.3200089339998</v>
      </c>
      <c r="P5" s="284">
        <v>293.12209487147652</v>
      </c>
      <c r="Q5">
        <f t="shared" si="1"/>
        <v>0.6870878404816837</v>
      </c>
    </row>
    <row r="6" spans="1:17" x14ac:dyDescent="0.3">
      <c r="A6" t="s">
        <v>118</v>
      </c>
      <c r="B6" t="s">
        <v>291</v>
      </c>
      <c r="C6">
        <v>1136.1844921611</v>
      </c>
      <c r="D6">
        <v>172.88018704147001</v>
      </c>
      <c r="E6" s="45" t="s">
        <v>171</v>
      </c>
      <c r="F6" s="45"/>
      <c r="G6" s="45"/>
      <c r="H6" s="73"/>
      <c r="I6" s="197"/>
      <c r="K6" t="s">
        <v>144</v>
      </c>
      <c r="L6">
        <v>15</v>
      </c>
      <c r="N6" s="196">
        <f t="shared" si="0"/>
        <v>16.671557587752201</v>
      </c>
      <c r="O6">
        <v>5054.6317436289</v>
      </c>
      <c r="P6" s="284">
        <v>293.12209487147652</v>
      </c>
      <c r="Q6">
        <f t="shared" si="1"/>
        <v>0.58978899941770591</v>
      </c>
    </row>
    <row r="7" spans="1:17" x14ac:dyDescent="0.3">
      <c r="A7" t="s">
        <v>118</v>
      </c>
      <c r="B7" t="s">
        <v>292</v>
      </c>
      <c r="C7">
        <v>1212.9225786838999</v>
      </c>
      <c r="D7">
        <v>212.00841330239999</v>
      </c>
      <c r="F7" s="45">
        <f>(C7-C5)/(D7-D5)</f>
        <v>7.333311799805327</v>
      </c>
      <c r="G7" s="45">
        <f>1/F7</f>
        <v>0.13636403678165523</v>
      </c>
      <c r="H7" s="200"/>
      <c r="I7" s="287"/>
      <c r="K7" t="s">
        <v>143</v>
      </c>
      <c r="L7">
        <v>11.6</v>
      </c>
      <c r="N7" s="196">
        <f t="shared" si="0"/>
        <v>20.071557587752203</v>
      </c>
      <c r="O7">
        <v>7676.8641854289999</v>
      </c>
      <c r="P7" s="284">
        <v>293.12209487147652</v>
      </c>
      <c r="Q7">
        <f t="shared" si="1"/>
        <v>0.72327680857820709</v>
      </c>
    </row>
    <row r="8" spans="1:17" x14ac:dyDescent="0.3">
      <c r="A8" t="s">
        <v>118</v>
      </c>
      <c r="B8" t="s">
        <v>293</v>
      </c>
      <c r="C8">
        <v>1218.2015162888999</v>
      </c>
      <c r="D8">
        <v>203.48450592904001</v>
      </c>
      <c r="E8" s="45" t="s">
        <v>171</v>
      </c>
      <c r="F8" s="45"/>
      <c r="G8" s="45"/>
      <c r="H8" s="200"/>
      <c r="I8" s="197"/>
      <c r="K8" t="s">
        <v>144</v>
      </c>
      <c r="L8">
        <v>12</v>
      </c>
      <c r="N8" s="196">
        <f t="shared" si="0"/>
        <v>19.671557587752201</v>
      </c>
      <c r="O8">
        <v>7593.0539097381998</v>
      </c>
      <c r="P8" s="284">
        <v>293.12209487147652</v>
      </c>
      <c r="Q8">
        <f t="shared" si="1"/>
        <v>0.6941970922330527</v>
      </c>
    </row>
    <row r="9" spans="1:17" x14ac:dyDescent="0.3">
      <c r="A9" t="s">
        <v>118</v>
      </c>
      <c r="B9" t="s">
        <v>294</v>
      </c>
      <c r="C9">
        <v>1250.1065042012001</v>
      </c>
      <c r="D9">
        <v>215.32718107013</v>
      </c>
      <c r="F9" s="45" t="s">
        <v>172</v>
      </c>
      <c r="G9" s="45"/>
      <c r="H9">
        <f>G22*(C9-C22)+D22</f>
        <v>215.72697839744239</v>
      </c>
      <c r="I9" s="202">
        <f>D9/H9</f>
        <v>0.99814674395255365</v>
      </c>
      <c r="J9">
        <f>(C9-C7)/(D9-D7)</f>
        <v>11.204136028696416</v>
      </c>
      <c r="K9" t="s">
        <v>146</v>
      </c>
      <c r="L9">
        <v>10.9</v>
      </c>
      <c r="N9" s="196">
        <f t="shared" si="0"/>
        <v>20.771557587752199</v>
      </c>
      <c r="O9">
        <v>8104.8169368565004</v>
      </c>
      <c r="P9" s="284">
        <v>293.12209487147652</v>
      </c>
      <c r="Q9">
        <f t="shared" si="1"/>
        <v>0.73459894302591966</v>
      </c>
    </row>
    <row r="10" spans="1:17" x14ac:dyDescent="0.3">
      <c r="A10" t="s">
        <v>118</v>
      </c>
      <c r="B10" t="s">
        <v>295</v>
      </c>
      <c r="C10">
        <v>1258.6956027207</v>
      </c>
      <c r="D10">
        <v>187.22730269639999</v>
      </c>
      <c r="E10" s="45" t="s">
        <v>171</v>
      </c>
      <c r="F10" s="45"/>
      <c r="G10" s="45"/>
      <c r="K10" t="s">
        <v>144</v>
      </c>
      <c r="L10">
        <v>12.8</v>
      </c>
      <c r="N10" s="196">
        <f t="shared" si="0"/>
        <v>18.8715575877522</v>
      </c>
      <c r="O10">
        <v>5940.6332140073</v>
      </c>
      <c r="P10" s="284">
        <v>293.12209487147652</v>
      </c>
      <c r="Q10">
        <f t="shared" si="1"/>
        <v>0.63873486841206017</v>
      </c>
    </row>
    <row r="11" spans="1:17" x14ac:dyDescent="0.3">
      <c r="A11" t="s">
        <v>118</v>
      </c>
      <c r="B11" t="s">
        <v>296</v>
      </c>
      <c r="C11">
        <v>1292.0699350013999</v>
      </c>
      <c r="D11">
        <v>212.01787969028999</v>
      </c>
      <c r="E11" s="45" t="s">
        <v>171</v>
      </c>
      <c r="F11" s="45"/>
      <c r="G11" s="45"/>
      <c r="K11" t="s">
        <v>144</v>
      </c>
      <c r="L11">
        <v>10.6</v>
      </c>
      <c r="N11" s="196">
        <f t="shared" si="0"/>
        <v>21.071557587752203</v>
      </c>
      <c r="O11">
        <v>8439.1897201731008</v>
      </c>
      <c r="P11" s="284">
        <v>293.12209487147652</v>
      </c>
      <c r="Q11">
        <f t="shared" si="1"/>
        <v>0.72330910361176348</v>
      </c>
    </row>
    <row r="12" spans="1:17" x14ac:dyDescent="0.3">
      <c r="A12" t="s">
        <v>118</v>
      </c>
      <c r="B12" t="s">
        <v>297</v>
      </c>
      <c r="C12">
        <v>1312.7201172994</v>
      </c>
      <c r="D12">
        <v>190.25164238007</v>
      </c>
      <c r="E12" s="45" t="s">
        <v>171</v>
      </c>
      <c r="F12" s="45"/>
      <c r="G12" s="45"/>
      <c r="K12" t="s">
        <v>144</v>
      </c>
      <c r="L12">
        <v>12.8</v>
      </c>
      <c r="N12" s="196">
        <f t="shared" si="0"/>
        <v>18.8715575877522</v>
      </c>
      <c r="O12">
        <v>3578.0096743039999</v>
      </c>
      <c r="P12" s="284">
        <v>293.12209487147652</v>
      </c>
      <c r="Q12">
        <f t="shared" si="1"/>
        <v>0.64905254741539864</v>
      </c>
    </row>
    <row r="13" spans="1:17" x14ac:dyDescent="0.3">
      <c r="A13" t="s">
        <v>118</v>
      </c>
      <c r="B13" t="s">
        <v>298</v>
      </c>
      <c r="C13">
        <v>1322.7956215398999</v>
      </c>
      <c r="D13">
        <v>191.21482181771</v>
      </c>
      <c r="E13" s="45" t="s">
        <v>171</v>
      </c>
      <c r="F13" s="45"/>
      <c r="G13" s="45"/>
      <c r="K13" t="s">
        <v>144</v>
      </c>
      <c r="L13">
        <v>11.9</v>
      </c>
      <c r="N13" s="196">
        <f t="shared" si="0"/>
        <v>19.771557587752199</v>
      </c>
      <c r="O13">
        <v>6442.2168177371996</v>
      </c>
      <c r="P13" s="284">
        <v>293.12209487147652</v>
      </c>
      <c r="Q13">
        <f t="shared" si="1"/>
        <v>0.65233847998238004</v>
      </c>
    </row>
    <row r="14" spans="1:17" x14ac:dyDescent="0.3">
      <c r="A14" t="s">
        <v>118</v>
      </c>
      <c r="B14" t="s">
        <v>299</v>
      </c>
      <c r="C14">
        <v>1365.8574415416001</v>
      </c>
      <c r="D14">
        <v>217.21393756843</v>
      </c>
      <c r="F14" s="45" t="s">
        <v>172</v>
      </c>
      <c r="G14" s="45"/>
      <c r="H14">
        <f>G22*(C14-C22)+D22</f>
        <v>227.30260924664341</v>
      </c>
      <c r="I14" s="202">
        <f>D14/H14</f>
        <v>0.95561568029662913</v>
      </c>
      <c r="K14" t="s">
        <v>144</v>
      </c>
      <c r="L14">
        <v>9.5</v>
      </c>
      <c r="N14" s="196">
        <f t="shared" si="0"/>
        <v>22.171557587752201</v>
      </c>
      <c r="O14">
        <v>9352.2848770237997</v>
      </c>
      <c r="P14" s="284">
        <v>293.12209487147652</v>
      </c>
      <c r="Q14">
        <f t="shared" si="1"/>
        <v>0.74103570276294073</v>
      </c>
    </row>
    <row r="15" spans="1:17" x14ac:dyDescent="0.3">
      <c r="A15" t="s">
        <v>118</v>
      </c>
      <c r="B15" t="s">
        <v>300</v>
      </c>
      <c r="C15">
        <v>1366.3816903768</v>
      </c>
      <c r="D15">
        <v>205.17713539936</v>
      </c>
      <c r="E15" s="45" t="s">
        <v>171</v>
      </c>
      <c r="F15" s="45"/>
      <c r="G15" s="45"/>
      <c r="K15" t="s">
        <v>144</v>
      </c>
      <c r="L15">
        <v>12.8</v>
      </c>
      <c r="N15" s="196">
        <f t="shared" si="0"/>
        <v>18.8715575877522</v>
      </c>
      <c r="O15">
        <v>6502.4172834603996</v>
      </c>
      <c r="P15" s="284">
        <v>293.12209487147652</v>
      </c>
      <c r="Q15">
        <f t="shared" si="1"/>
        <v>0.69997157835994173</v>
      </c>
    </row>
    <row r="16" spans="1:17" x14ac:dyDescent="0.3">
      <c r="A16" t="s">
        <v>118</v>
      </c>
      <c r="B16" t="s">
        <v>301</v>
      </c>
      <c r="C16">
        <v>1391.2351695484999</v>
      </c>
      <c r="D16">
        <v>196.11717439242</v>
      </c>
      <c r="E16" s="45" t="s">
        <v>171</v>
      </c>
      <c r="F16" s="45"/>
      <c r="G16" s="45"/>
      <c r="K16" t="s">
        <v>144</v>
      </c>
      <c r="L16">
        <v>11.7</v>
      </c>
      <c r="N16" s="196">
        <f t="shared" si="0"/>
        <v>19.971557587752201</v>
      </c>
      <c r="O16">
        <v>3979.3151779861</v>
      </c>
      <c r="P16" s="284">
        <v>293.12209487147652</v>
      </c>
      <c r="Q16">
        <f t="shared" si="1"/>
        <v>0.6690630894897579</v>
      </c>
    </row>
    <row r="17" spans="1:17" x14ac:dyDescent="0.3">
      <c r="A17" t="s">
        <v>118</v>
      </c>
      <c r="B17" t="s">
        <v>302</v>
      </c>
      <c r="C17">
        <v>1402.4219882576001</v>
      </c>
      <c r="D17">
        <v>230.21465479035999</v>
      </c>
      <c r="F17" s="45" t="s">
        <v>172</v>
      </c>
      <c r="G17" s="45"/>
      <c r="H17">
        <f>G22*(C17-C22)+D22</f>
        <v>230.95923358747328</v>
      </c>
      <c r="I17" s="202">
        <f>D17/H17</f>
        <v>0.99677614622482158</v>
      </c>
      <c r="J17">
        <f>(C17-C7)/(D17-D7)</f>
        <v>10.40848599635561</v>
      </c>
      <c r="K17" t="s">
        <v>146</v>
      </c>
      <c r="L17">
        <v>10.7</v>
      </c>
      <c r="N17" s="196">
        <f t="shared" si="0"/>
        <v>20.971557587752201</v>
      </c>
      <c r="O17">
        <v>9265.0563851854004</v>
      </c>
      <c r="P17" s="284">
        <v>293.12209487147652</v>
      </c>
      <c r="Q17">
        <f t="shared" si="1"/>
        <v>0.78538826931931149</v>
      </c>
    </row>
    <row r="18" spans="1:17" x14ac:dyDescent="0.3">
      <c r="A18" t="s">
        <v>118</v>
      </c>
      <c r="B18" t="s">
        <v>303</v>
      </c>
      <c r="C18">
        <v>1442.9501973946999</v>
      </c>
      <c r="D18">
        <v>199.17037789527001</v>
      </c>
      <c r="E18" s="45" t="s">
        <v>171</v>
      </c>
      <c r="F18" s="45"/>
      <c r="G18" s="45"/>
      <c r="K18" t="s">
        <v>144</v>
      </c>
      <c r="L18">
        <v>11.1</v>
      </c>
      <c r="N18" s="196">
        <f t="shared" si="0"/>
        <v>20.571557587752203</v>
      </c>
      <c r="O18">
        <v>4252.1458528505</v>
      </c>
      <c r="P18" s="284">
        <v>293.12209487147652</v>
      </c>
      <c r="Q18">
        <f t="shared" si="1"/>
        <v>0.67947923878818839</v>
      </c>
    </row>
    <row r="19" spans="1:17" x14ac:dyDescent="0.3">
      <c r="A19" t="s">
        <v>118</v>
      </c>
      <c r="B19" t="s">
        <v>304</v>
      </c>
      <c r="C19">
        <v>1443.5804334203999</v>
      </c>
      <c r="D19">
        <v>206.18336300982</v>
      </c>
      <c r="E19" s="45" t="s">
        <v>171</v>
      </c>
      <c r="F19" s="2"/>
      <c r="K19" t="s">
        <v>144</v>
      </c>
      <c r="L19">
        <v>11.5</v>
      </c>
      <c r="N19" s="196">
        <f t="shared" si="0"/>
        <v>20.171557587752201</v>
      </c>
      <c r="O19">
        <v>6969.1634146694996</v>
      </c>
      <c r="P19" s="284">
        <v>293.12209487147652</v>
      </c>
      <c r="Q19">
        <f t="shared" si="1"/>
        <v>0.70340437182063664</v>
      </c>
    </row>
    <row r="20" spans="1:17" x14ac:dyDescent="0.3">
      <c r="A20" t="s">
        <v>118</v>
      </c>
      <c r="B20" t="s">
        <v>305</v>
      </c>
      <c r="C20">
        <v>1456.3381890977</v>
      </c>
      <c r="D20">
        <v>214.19908343172</v>
      </c>
      <c r="E20" s="45" t="s">
        <v>171</v>
      </c>
      <c r="F20" s="2"/>
      <c r="K20" t="s">
        <v>144</v>
      </c>
      <c r="L20">
        <v>11.3</v>
      </c>
      <c r="N20" s="196">
        <f t="shared" si="0"/>
        <v>20.3715575877522</v>
      </c>
      <c r="O20">
        <v>7196.0447648531999</v>
      </c>
      <c r="P20" s="284">
        <v>293.12209487147652</v>
      </c>
      <c r="Q20">
        <f t="shared" si="1"/>
        <v>0.73075038415523941</v>
      </c>
    </row>
    <row r="21" spans="1:17" x14ac:dyDescent="0.3">
      <c r="A21" t="s">
        <v>118</v>
      </c>
      <c r="B21" t="s">
        <v>306</v>
      </c>
      <c r="C21">
        <v>1509.8624958380999</v>
      </c>
      <c r="D21">
        <v>217.30002738434001</v>
      </c>
      <c r="E21" s="45" t="s">
        <v>171</v>
      </c>
      <c r="F21" s="2"/>
      <c r="K21" t="s">
        <v>144</v>
      </c>
      <c r="L21">
        <v>10.6</v>
      </c>
      <c r="N21" s="196">
        <f t="shared" si="0"/>
        <v>21.071557587752203</v>
      </c>
      <c r="O21">
        <v>7661.0519306213</v>
      </c>
      <c r="P21" s="284">
        <v>293.12209487147652</v>
      </c>
      <c r="Q21">
        <f t="shared" si="1"/>
        <v>0.74132940227388266</v>
      </c>
    </row>
    <row r="22" spans="1:17" x14ac:dyDescent="0.3">
      <c r="A22" t="s">
        <v>118</v>
      </c>
      <c r="B22" t="s">
        <v>307</v>
      </c>
      <c r="C22">
        <v>1510.2660226782</v>
      </c>
      <c r="D22">
        <v>241.74413745455999</v>
      </c>
      <c r="F22" s="45">
        <f>(C22-C7)/(D22-D7)</f>
        <v>9.9995359949120672</v>
      </c>
      <c r="G22" s="45">
        <f>1/F22</f>
        <v>0.10000464026619003</v>
      </c>
      <c r="I22" s="287"/>
      <c r="K22" t="s">
        <v>143</v>
      </c>
      <c r="L22">
        <v>8.9</v>
      </c>
      <c r="N22" s="196">
        <f t="shared" si="0"/>
        <v>22.771557587752199</v>
      </c>
      <c r="O22">
        <v>10520.474398664999</v>
      </c>
      <c r="P22" s="284">
        <v>293.12209487147652</v>
      </c>
      <c r="Q22">
        <f t="shared" si="1"/>
        <v>0.82472164904715251</v>
      </c>
    </row>
    <row r="23" spans="1:17" x14ac:dyDescent="0.3">
      <c r="A23" t="s">
        <v>118</v>
      </c>
      <c r="B23" t="s">
        <v>308</v>
      </c>
      <c r="C23">
        <v>1524.132766276</v>
      </c>
      <c r="D23">
        <v>217.62770007302001</v>
      </c>
      <c r="E23" s="45" t="s">
        <v>171</v>
      </c>
      <c r="F23" s="2"/>
      <c r="K23" t="s">
        <v>144</v>
      </c>
      <c r="L23">
        <v>11.2</v>
      </c>
      <c r="N23" s="196">
        <f t="shared" si="0"/>
        <v>20.471557587752201</v>
      </c>
      <c r="O23">
        <v>4381.2405774803001</v>
      </c>
      <c r="P23" s="284">
        <v>293.12209487147652</v>
      </c>
      <c r="Q23">
        <f t="shared" si="1"/>
        <v>0.74244727327171267</v>
      </c>
    </row>
    <row r="24" spans="1:17" x14ac:dyDescent="0.3">
      <c r="A24" t="s">
        <v>118</v>
      </c>
      <c r="B24" t="s">
        <v>309</v>
      </c>
      <c r="C24">
        <v>1537.9803804784999</v>
      </c>
      <c r="D24">
        <v>213.45931165062001</v>
      </c>
      <c r="E24" s="45" t="s">
        <v>171</v>
      </c>
      <c r="F24" s="2"/>
      <c r="K24" t="s">
        <v>144</v>
      </c>
      <c r="L24">
        <v>10.3</v>
      </c>
      <c r="N24" s="196">
        <f t="shared" si="0"/>
        <v>21.3715575877522</v>
      </c>
      <c r="O24">
        <v>7723.4491747475004</v>
      </c>
      <c r="P24" s="284">
        <v>293.12209487147652</v>
      </c>
      <c r="Q24">
        <f t="shared" si="1"/>
        <v>0.72822661745855166</v>
      </c>
    </row>
    <row r="25" spans="1:17" x14ac:dyDescent="0.3">
      <c r="A25" t="s">
        <v>118</v>
      </c>
      <c r="B25" t="s">
        <v>310</v>
      </c>
      <c r="C25">
        <v>1556.5020297839999</v>
      </c>
      <c r="D25">
        <v>244.8779923219</v>
      </c>
      <c r="F25" s="45">
        <f>(C25-C22)/(D25-D22)</f>
        <v>14.753716768334172</v>
      </c>
      <c r="G25" s="45">
        <f>1/F25</f>
        <v>6.7779530792287879E-2</v>
      </c>
      <c r="I25" s="287"/>
      <c r="K25" t="s">
        <v>143</v>
      </c>
      <c r="L25">
        <v>8.1999999999999993</v>
      </c>
      <c r="N25" s="196">
        <f t="shared" si="0"/>
        <v>23.471557587752201</v>
      </c>
      <c r="O25">
        <v>11129.654130192001</v>
      </c>
      <c r="P25" s="284">
        <v>293.12209487147652</v>
      </c>
      <c r="Q25">
        <f t="shared" si="1"/>
        <v>0.83541294432025048</v>
      </c>
    </row>
    <row r="26" spans="1:17" x14ac:dyDescent="0.3">
      <c r="A26" t="s">
        <v>118</v>
      </c>
      <c r="B26" t="s">
        <v>311</v>
      </c>
      <c r="C26">
        <v>1574.7892147435</v>
      </c>
      <c r="D26">
        <v>217.79028896976001</v>
      </c>
      <c r="E26" s="45" t="s">
        <v>171</v>
      </c>
      <c r="F26" s="2"/>
      <c r="K26" t="s">
        <v>144</v>
      </c>
      <c r="L26">
        <v>10.4</v>
      </c>
      <c r="N26" s="196">
        <f t="shared" si="0"/>
        <v>21.271557587752199</v>
      </c>
      <c r="O26">
        <v>4655.6889787798</v>
      </c>
      <c r="P26" s="284">
        <v>293.12209487147652</v>
      </c>
      <c r="Q26">
        <f t="shared" si="1"/>
        <v>0.74300195304367356</v>
      </c>
    </row>
    <row r="27" spans="1:17" x14ac:dyDescent="0.3">
      <c r="A27" t="s">
        <v>118</v>
      </c>
      <c r="B27" t="s">
        <v>312</v>
      </c>
      <c r="C27">
        <v>1599.3337800306001</v>
      </c>
      <c r="D27">
        <v>224.41695476928999</v>
      </c>
      <c r="E27" s="45" t="s">
        <v>171</v>
      </c>
      <c r="F27" s="2"/>
      <c r="K27" t="s">
        <v>144</v>
      </c>
      <c r="L27">
        <v>10.1</v>
      </c>
      <c r="N27" s="196">
        <f t="shared" si="0"/>
        <v>21.571557587752203</v>
      </c>
      <c r="O27">
        <v>4780.7753195642999</v>
      </c>
      <c r="P27" s="284">
        <v>293.12209487147652</v>
      </c>
      <c r="Q27">
        <f t="shared" si="1"/>
        <v>0.76560913931680497</v>
      </c>
    </row>
    <row r="28" spans="1:17" x14ac:dyDescent="0.3">
      <c r="A28" t="s">
        <v>118</v>
      </c>
      <c r="B28" t="s">
        <v>313</v>
      </c>
      <c r="C28">
        <v>1630.268338886</v>
      </c>
      <c r="D28">
        <v>219.37371917210001</v>
      </c>
      <c r="E28" s="45" t="s">
        <v>171</v>
      </c>
      <c r="F28" s="2"/>
      <c r="K28" t="s">
        <v>144</v>
      </c>
      <c r="L28">
        <v>9.1999999999999993</v>
      </c>
      <c r="N28" s="196">
        <f t="shared" si="0"/>
        <v>22.471557587752201</v>
      </c>
      <c r="O28">
        <v>8541.9215529347002</v>
      </c>
      <c r="P28" s="284">
        <v>293.12209487147652</v>
      </c>
      <c r="Q28">
        <f t="shared" si="1"/>
        <v>0.74840390066223939</v>
      </c>
    </row>
    <row r="29" spans="1:17" x14ac:dyDescent="0.3">
      <c r="A29" t="s">
        <v>118</v>
      </c>
      <c r="B29" t="s">
        <v>314</v>
      </c>
      <c r="C29">
        <v>1649.9305137639001</v>
      </c>
      <c r="D29">
        <v>225.82745599257001</v>
      </c>
      <c r="E29" s="45" t="s">
        <v>171</v>
      </c>
      <c r="F29" s="2"/>
      <c r="K29" t="s">
        <v>144</v>
      </c>
      <c r="L29">
        <v>9.6</v>
      </c>
      <c r="N29" s="196">
        <f t="shared" si="0"/>
        <v>22.071557587752203</v>
      </c>
      <c r="O29">
        <v>5051.9376009463003</v>
      </c>
      <c r="P29" s="284">
        <v>293.12209487147652</v>
      </c>
      <c r="Q29">
        <f t="shared" si="1"/>
        <v>0.77042113147965596</v>
      </c>
    </row>
    <row r="30" spans="1:17" x14ac:dyDescent="0.3">
      <c r="A30" t="s">
        <v>118</v>
      </c>
      <c r="B30" t="s">
        <v>315</v>
      </c>
      <c r="C30">
        <v>1658.4676527095</v>
      </c>
      <c r="D30">
        <v>235.29193676954</v>
      </c>
      <c r="E30" s="45" t="s">
        <v>171</v>
      </c>
      <c r="F30" s="2"/>
      <c r="K30" t="s">
        <v>144</v>
      </c>
      <c r="L30">
        <v>8.6999999999999993</v>
      </c>
      <c r="N30" s="196">
        <f t="shared" si="0"/>
        <v>22.971557587752201</v>
      </c>
      <c r="O30">
        <v>12373.196149718</v>
      </c>
      <c r="P30" s="284">
        <v>293.12209487147652</v>
      </c>
      <c r="Q30">
        <f t="shared" si="1"/>
        <v>0.80270965882905221</v>
      </c>
    </row>
    <row r="31" spans="1:17" x14ac:dyDescent="0.3">
      <c r="A31" t="s">
        <v>118</v>
      </c>
      <c r="B31" t="s">
        <v>316</v>
      </c>
      <c r="C31">
        <v>1676.0010360894</v>
      </c>
      <c r="D31">
        <v>233.73483325814999</v>
      </c>
      <c r="E31" s="45" t="s">
        <v>171</v>
      </c>
      <c r="F31" s="2"/>
      <c r="K31" t="s">
        <v>144</v>
      </c>
      <c r="L31">
        <v>10.199999999999999</v>
      </c>
      <c r="N31" s="196">
        <f t="shared" si="0"/>
        <v>21.471557587752201</v>
      </c>
      <c r="O31">
        <v>8461.5300104023008</v>
      </c>
      <c r="P31" s="284">
        <v>293.12209487147652</v>
      </c>
      <c r="Q31">
        <f t="shared" si="1"/>
        <v>0.79739752597167501</v>
      </c>
    </row>
    <row r="32" spans="1:17" x14ac:dyDescent="0.3">
      <c r="A32" t="s">
        <v>118</v>
      </c>
      <c r="B32" t="s">
        <v>317</v>
      </c>
      <c r="C32">
        <v>1716.2960734072999</v>
      </c>
      <c r="D32">
        <v>227.65073458428</v>
      </c>
      <c r="E32" s="45" t="s">
        <v>171</v>
      </c>
      <c r="F32" s="2"/>
      <c r="K32" t="s">
        <v>144</v>
      </c>
      <c r="L32">
        <v>8.6999999999999993</v>
      </c>
      <c r="N32" s="196">
        <f t="shared" si="0"/>
        <v>22.971557587752201</v>
      </c>
      <c r="O32">
        <v>5410.8727864188004</v>
      </c>
      <c r="P32" s="284">
        <v>293.12209487147652</v>
      </c>
      <c r="Q32">
        <f t="shared" si="1"/>
        <v>0.77664133331230678</v>
      </c>
    </row>
    <row r="33" spans="1:17" x14ac:dyDescent="0.3">
      <c r="A33" t="s">
        <v>118</v>
      </c>
      <c r="B33" t="s">
        <v>318</v>
      </c>
      <c r="C33">
        <v>1775.598750075</v>
      </c>
      <c r="D33">
        <v>242.96478882509001</v>
      </c>
      <c r="E33" s="45" t="s">
        <v>171</v>
      </c>
      <c r="F33" s="2"/>
      <c r="K33" t="s">
        <v>144</v>
      </c>
      <c r="L33">
        <v>7.4</v>
      </c>
      <c r="N33" s="196">
        <f t="shared" si="0"/>
        <v>24.271557587752199</v>
      </c>
      <c r="O33">
        <v>14049.808809448999</v>
      </c>
      <c r="P33" s="284">
        <v>293.12209487147652</v>
      </c>
      <c r="Q33">
        <f t="shared" si="1"/>
        <v>0.82888595938706466</v>
      </c>
    </row>
    <row r="34" spans="1:17" x14ac:dyDescent="0.3">
      <c r="A34" t="s">
        <v>118</v>
      </c>
      <c r="B34" t="s">
        <v>319</v>
      </c>
      <c r="C34">
        <v>1787.2899127078999</v>
      </c>
      <c r="D34">
        <v>231.01424089327</v>
      </c>
      <c r="E34" s="45" t="s">
        <v>171</v>
      </c>
      <c r="F34" s="2"/>
      <c r="K34" t="s">
        <v>144</v>
      </c>
      <c r="L34">
        <v>8.1</v>
      </c>
      <c r="N34" s="196">
        <f t="shared" si="0"/>
        <v>23.571557587752203</v>
      </c>
      <c r="O34">
        <v>5813.1407054921001</v>
      </c>
      <c r="P34" s="284">
        <v>293.12209487147652</v>
      </c>
      <c r="Q34">
        <f t="shared" si="1"/>
        <v>0.78811609542624694</v>
      </c>
    </row>
    <row r="35" spans="1:17" x14ac:dyDescent="0.3">
      <c r="A35" t="s">
        <v>118</v>
      </c>
      <c r="B35" t="s">
        <v>320</v>
      </c>
      <c r="C35">
        <v>1812.2318007069</v>
      </c>
      <c r="D35">
        <v>244.84768927607999</v>
      </c>
      <c r="E35" s="45" t="s">
        <v>171</v>
      </c>
      <c r="F35" s="2"/>
      <c r="K35" t="s">
        <v>144</v>
      </c>
      <c r="L35">
        <v>8.5</v>
      </c>
      <c r="N35" s="196">
        <f t="shared" si="0"/>
        <v>23.171557587752201</v>
      </c>
      <c r="O35">
        <v>9583.0722429370999</v>
      </c>
      <c r="P35" s="284">
        <v>293.12209487147652</v>
      </c>
      <c r="Q35">
        <f t="shared" si="1"/>
        <v>0.835309564034867</v>
      </c>
    </row>
    <row r="36" spans="1:17" x14ac:dyDescent="0.3">
      <c r="A36" t="s">
        <v>118</v>
      </c>
      <c r="B36" t="s">
        <v>321</v>
      </c>
      <c r="C36">
        <v>1854.3715321508</v>
      </c>
      <c r="D36">
        <v>245.92175041349</v>
      </c>
      <c r="F36" s="45" t="s">
        <v>172</v>
      </c>
      <c r="H36">
        <f>G43*(C36-C43)+D43</f>
        <v>262.0248538789927</v>
      </c>
      <c r="I36" s="202">
        <f>D36/H36</f>
        <v>0.93854360291738059</v>
      </c>
      <c r="K36" t="s">
        <v>144</v>
      </c>
      <c r="L36">
        <v>6.8</v>
      </c>
      <c r="N36" s="196">
        <f t="shared" si="0"/>
        <v>24.8715575877522</v>
      </c>
      <c r="O36">
        <v>15246.438313387</v>
      </c>
      <c r="P36" s="284">
        <v>293.12209487147652</v>
      </c>
      <c r="Q36">
        <f t="shared" si="1"/>
        <v>0.8389737748064261</v>
      </c>
    </row>
    <row r="37" spans="1:17" x14ac:dyDescent="0.3">
      <c r="A37" t="s">
        <v>118</v>
      </c>
      <c r="B37" t="s">
        <v>218</v>
      </c>
      <c r="C37">
        <v>1865.7403386213</v>
      </c>
      <c r="D37">
        <v>250.22782031078</v>
      </c>
      <c r="F37" s="45" t="s">
        <v>172</v>
      </c>
      <c r="H37">
        <f>G43*(C37-C43)+D43</f>
        <v>262.6792993629046</v>
      </c>
      <c r="I37" s="202">
        <f>D37/H37</f>
        <v>0.95259817167807248</v>
      </c>
      <c r="K37" t="s">
        <v>144</v>
      </c>
      <c r="L37">
        <v>8.5</v>
      </c>
      <c r="N37" s="196">
        <f t="shared" si="0"/>
        <v>23.171557587752201</v>
      </c>
      <c r="O37">
        <v>5958.3762452202</v>
      </c>
      <c r="P37" s="284">
        <v>293.12209487147652</v>
      </c>
      <c r="Q37">
        <f t="shared" si="1"/>
        <v>0.85366413753455161</v>
      </c>
    </row>
    <row r="38" spans="1:17" x14ac:dyDescent="0.3">
      <c r="A38" t="s">
        <v>118</v>
      </c>
      <c r="B38" t="s">
        <v>322</v>
      </c>
      <c r="C38">
        <v>1871.8340850668999</v>
      </c>
      <c r="D38">
        <v>247.09548793683001</v>
      </c>
      <c r="E38" s="45" t="s">
        <v>171</v>
      </c>
      <c r="F38" s="2"/>
      <c r="K38" t="s">
        <v>144</v>
      </c>
      <c r="L38">
        <v>7.8</v>
      </c>
      <c r="N38" s="196">
        <f t="shared" si="0"/>
        <v>23.8715575877522</v>
      </c>
      <c r="O38">
        <v>10126.600665083</v>
      </c>
      <c r="P38" s="284">
        <v>293.12209487147652</v>
      </c>
      <c r="Q38">
        <f t="shared" si="1"/>
        <v>0.84297803632023194</v>
      </c>
    </row>
    <row r="39" spans="1:17" x14ac:dyDescent="0.3">
      <c r="A39" s="199" t="s">
        <v>118</v>
      </c>
      <c r="B39" s="199" t="s">
        <v>216</v>
      </c>
      <c r="C39" s="199">
        <v>1937.2268891053</v>
      </c>
      <c r="D39" s="199">
        <v>265.32347369074</v>
      </c>
      <c r="E39" s="199"/>
      <c r="F39" s="201" t="s">
        <v>172</v>
      </c>
      <c r="G39" s="199"/>
      <c r="H39" s="199">
        <f>G43*(C39-C43)+D43</f>
        <v>266.79442351829346</v>
      </c>
      <c r="I39" s="363">
        <f>D39/H39</f>
        <v>0.99448657956131303</v>
      </c>
      <c r="J39" s="199">
        <f>(C39-C25)/(D39-D25)</f>
        <v>18.621467132661639</v>
      </c>
      <c r="K39" s="199" t="s">
        <v>146</v>
      </c>
      <c r="L39" s="199">
        <v>7.2</v>
      </c>
      <c r="M39" s="199"/>
      <c r="N39" s="288">
        <f t="shared" si="0"/>
        <v>24.471557587752201</v>
      </c>
      <c r="O39" s="199">
        <v>15563.470299803999</v>
      </c>
      <c r="P39" s="288">
        <v>293.12209487147652</v>
      </c>
      <c r="Q39" s="199">
        <f t="shared" si="1"/>
        <v>0.90516367866118996</v>
      </c>
    </row>
    <row r="40" spans="1:17" x14ac:dyDescent="0.3">
      <c r="A40" t="s">
        <v>118</v>
      </c>
      <c r="B40" t="s">
        <v>323</v>
      </c>
      <c r="C40">
        <v>1941.6051940962</v>
      </c>
      <c r="D40">
        <v>237.38208343647</v>
      </c>
      <c r="E40" s="45" t="s">
        <v>171</v>
      </c>
      <c r="F40" s="2"/>
      <c r="K40" t="s">
        <v>144</v>
      </c>
      <c r="L40">
        <v>8.4</v>
      </c>
      <c r="N40" s="196">
        <f t="shared" si="0"/>
        <v>23.271557587752199</v>
      </c>
      <c r="O40">
        <v>10503.789946831001</v>
      </c>
      <c r="P40" s="284">
        <v>293.12209487147652</v>
      </c>
      <c r="Q40">
        <f t="shared" si="1"/>
        <v>0.80984029382211353</v>
      </c>
    </row>
    <row r="41" spans="1:17" x14ac:dyDescent="0.3">
      <c r="A41" t="s">
        <v>118</v>
      </c>
      <c r="B41" t="s">
        <v>324</v>
      </c>
      <c r="C41">
        <v>1969.0501893293001</v>
      </c>
      <c r="D41">
        <v>258.66997131291998</v>
      </c>
      <c r="E41" s="45" t="s">
        <v>171</v>
      </c>
      <c r="F41" s="2"/>
      <c r="K41" t="s">
        <v>144</v>
      </c>
      <c r="L41">
        <v>7.2</v>
      </c>
      <c r="N41" s="196">
        <f t="shared" si="0"/>
        <v>24.471557587752201</v>
      </c>
      <c r="O41">
        <v>6516.6394719046002</v>
      </c>
      <c r="P41" s="284">
        <v>293.12209487147652</v>
      </c>
      <c r="Q41">
        <f t="shared" si="1"/>
        <v>0.88246493812190263</v>
      </c>
    </row>
    <row r="42" spans="1:17" x14ac:dyDescent="0.3">
      <c r="A42" t="s">
        <v>118</v>
      </c>
      <c r="B42" t="s">
        <v>325</v>
      </c>
      <c r="C42">
        <v>2040.5336377491999</v>
      </c>
      <c r="D42">
        <v>261.58017014566002</v>
      </c>
      <c r="E42" s="45" t="s">
        <v>171</v>
      </c>
      <c r="F42" s="2"/>
      <c r="K42" t="s">
        <v>144</v>
      </c>
      <c r="L42">
        <v>6.5</v>
      </c>
      <c r="N42" s="196">
        <f t="shared" si="0"/>
        <v>25.171557587752201</v>
      </c>
      <c r="O42">
        <v>6956.9001797129004</v>
      </c>
      <c r="P42" s="284">
        <v>293.12209487147652</v>
      </c>
      <c r="Q42">
        <f t="shared" si="1"/>
        <v>0.892393220171115</v>
      </c>
    </row>
    <row r="43" spans="1:17" x14ac:dyDescent="0.3">
      <c r="A43" t="s">
        <v>118</v>
      </c>
      <c r="B43" t="s">
        <v>252</v>
      </c>
      <c r="C43">
        <v>2051.8119673496999</v>
      </c>
      <c r="D43">
        <v>273.39051495281001</v>
      </c>
      <c r="F43" s="2">
        <f>(C43-C25)/(D43-D25)</f>
        <v>17.371663110185196</v>
      </c>
      <c r="G43" s="45">
        <f>1/F43</f>
        <v>5.7565012264927537E-2</v>
      </c>
      <c r="I43" s="287"/>
      <c r="K43" t="s">
        <v>143</v>
      </c>
      <c r="L43">
        <v>5.8</v>
      </c>
      <c r="N43" s="196">
        <f t="shared" si="0"/>
        <v>25.8715575877522</v>
      </c>
      <c r="O43">
        <v>17225.447162542001</v>
      </c>
      <c r="P43" s="284">
        <v>293.12209487147652</v>
      </c>
      <c r="Q43">
        <f t="shared" si="1"/>
        <v>0.93268477448853493</v>
      </c>
    </row>
    <row r="44" spans="1:17" x14ac:dyDescent="0.3">
      <c r="A44" t="s">
        <v>118</v>
      </c>
      <c r="B44" t="s">
        <v>326</v>
      </c>
      <c r="C44">
        <v>2085.8814204972</v>
      </c>
      <c r="D44">
        <v>244.51637391099999</v>
      </c>
      <c r="E44" s="45" t="s">
        <v>171</v>
      </c>
      <c r="F44" s="2"/>
      <c r="K44" t="s">
        <v>144</v>
      </c>
      <c r="L44">
        <v>7.2</v>
      </c>
      <c r="N44" s="196">
        <f t="shared" si="0"/>
        <v>24.471557587752201</v>
      </c>
      <c r="O44">
        <v>11872.288020448999</v>
      </c>
      <c r="P44" s="284">
        <v>293.12209487147652</v>
      </c>
      <c r="Q44">
        <f t="shared" si="1"/>
        <v>0.83417926587284941</v>
      </c>
    </row>
    <row r="45" spans="1:17" x14ac:dyDescent="0.3">
      <c r="A45" t="s">
        <v>118</v>
      </c>
      <c r="B45" t="s">
        <v>253</v>
      </c>
      <c r="C45">
        <v>2127.7243878077002</v>
      </c>
      <c r="D45">
        <v>276.17414157486002</v>
      </c>
      <c r="F45" s="2">
        <f>(C45-C43)/(D45-D43)</f>
        <v>27.271049880279705</v>
      </c>
      <c r="G45" s="45">
        <f>1/F45</f>
        <v>3.6668921966334783E-2</v>
      </c>
      <c r="I45" s="287"/>
      <c r="K45" t="s">
        <v>143</v>
      </c>
      <c r="L45">
        <v>5.2</v>
      </c>
      <c r="N45" s="196">
        <f t="shared" si="0"/>
        <v>26.471557587752201</v>
      </c>
      <c r="O45">
        <v>18422.603758875</v>
      </c>
      <c r="P45" s="284">
        <v>293.12209487147652</v>
      </c>
      <c r="Q45">
        <f t="shared" si="1"/>
        <v>0.94218124940718795</v>
      </c>
    </row>
    <row r="46" spans="1:17" x14ac:dyDescent="0.3">
      <c r="A46" t="s">
        <v>118</v>
      </c>
      <c r="B46" t="s">
        <v>327</v>
      </c>
      <c r="C46">
        <v>2185.6585371906999</v>
      </c>
      <c r="D46">
        <v>247.30172382703</v>
      </c>
      <c r="E46" s="45" t="s">
        <v>171</v>
      </c>
      <c r="F46" s="2"/>
      <c r="K46" t="s">
        <v>144</v>
      </c>
      <c r="L46">
        <v>6.5</v>
      </c>
      <c r="N46" s="196">
        <f t="shared" si="0"/>
        <v>25.171557587752201</v>
      </c>
      <c r="O46">
        <v>12862.069821259</v>
      </c>
      <c r="P46" s="284">
        <v>293.12209487147652</v>
      </c>
      <c r="Q46">
        <f t="shared" si="1"/>
        <v>0.84368161989106583</v>
      </c>
    </row>
    <row r="47" spans="1:17" s="110" customFormat="1" x14ac:dyDescent="0.3">
      <c r="A47" s="110" t="s">
        <v>118</v>
      </c>
      <c r="B47" s="110" t="s">
        <v>217</v>
      </c>
      <c r="C47" s="110">
        <v>2284.6410084603999</v>
      </c>
      <c r="D47" s="110">
        <v>268.18430282168998</v>
      </c>
      <c r="E47" s="220" t="s">
        <v>171</v>
      </c>
      <c r="F47" s="361"/>
      <c r="K47" s="110" t="s">
        <v>144</v>
      </c>
      <c r="L47" s="110">
        <v>6.9</v>
      </c>
      <c r="N47" s="284">
        <f t="shared" si="0"/>
        <v>24.771557587752199</v>
      </c>
      <c r="O47" s="110">
        <v>13083.720832842</v>
      </c>
      <c r="P47" s="284">
        <v>293.12209487147652</v>
      </c>
      <c r="Q47">
        <f t="shared" si="1"/>
        <v>0.9149235336192556</v>
      </c>
    </row>
    <row r="48" spans="1:17" x14ac:dyDescent="0.3">
      <c r="A48" t="s">
        <v>118</v>
      </c>
      <c r="B48" t="s">
        <v>328</v>
      </c>
      <c r="C48">
        <v>2338.7482447487</v>
      </c>
      <c r="D48">
        <v>253.06383847392999</v>
      </c>
      <c r="E48" s="45" t="s">
        <v>171</v>
      </c>
      <c r="F48" s="2"/>
      <c r="K48" t="s">
        <v>144</v>
      </c>
      <c r="L48">
        <v>6.7</v>
      </c>
      <c r="N48" s="196">
        <f t="shared" si="0"/>
        <v>24.971557587752201</v>
      </c>
      <c r="O48">
        <v>8752.0075524920994</v>
      </c>
      <c r="P48" s="284">
        <v>293.12209487147652</v>
      </c>
      <c r="Q48">
        <f t="shared" si="1"/>
        <v>0.8633393486932105</v>
      </c>
    </row>
    <row r="49" spans="1:17" x14ac:dyDescent="0.3">
      <c r="A49" t="s">
        <v>118</v>
      </c>
      <c r="B49" t="s">
        <v>329</v>
      </c>
      <c r="C49">
        <v>2429.0819027647999</v>
      </c>
      <c r="D49">
        <v>274.28020607035</v>
      </c>
      <c r="E49" s="45" t="s">
        <v>171</v>
      </c>
      <c r="F49" s="2"/>
      <c r="K49" t="s">
        <v>144</v>
      </c>
      <c r="L49">
        <v>5.7</v>
      </c>
      <c r="N49" s="196">
        <f t="shared" si="0"/>
        <v>25.971557587752201</v>
      </c>
      <c r="O49">
        <v>14447.02294907</v>
      </c>
      <c r="P49" s="284">
        <v>293.12209487147652</v>
      </c>
      <c r="Q49">
        <f t="shared" si="1"/>
        <v>0.9357199981482528</v>
      </c>
    </row>
    <row r="50" spans="1:17" x14ac:dyDescent="0.3">
      <c r="A50" t="s">
        <v>118</v>
      </c>
      <c r="B50" t="s">
        <v>330</v>
      </c>
      <c r="C50">
        <v>2494.6272249555</v>
      </c>
      <c r="D50">
        <v>258.45856051995003</v>
      </c>
      <c r="E50" s="45" t="s">
        <v>171</v>
      </c>
      <c r="F50" s="2"/>
      <c r="K50" t="s">
        <v>144</v>
      </c>
      <c r="L50">
        <v>5.8</v>
      </c>
      <c r="N50" s="196">
        <f t="shared" si="0"/>
        <v>25.8715575877522</v>
      </c>
      <c r="O50">
        <v>9825.1749047149005</v>
      </c>
      <c r="P50" s="284">
        <v>293.12209487147652</v>
      </c>
      <c r="Q50">
        <f t="shared" si="1"/>
        <v>0.8817437001235775</v>
      </c>
    </row>
    <row r="51" spans="1:17" x14ac:dyDescent="0.3">
      <c r="A51" t="s">
        <v>118</v>
      </c>
      <c r="B51" t="s">
        <v>331</v>
      </c>
      <c r="C51">
        <v>2528.4446353937001</v>
      </c>
      <c r="D51">
        <v>277.53259770897</v>
      </c>
      <c r="F51" s="45" t="s">
        <v>172</v>
      </c>
      <c r="H51">
        <f>G55*(C51-C55)+D55</f>
        <v>282.80341969487694</v>
      </c>
      <c r="I51" s="202">
        <f>D51/H51</f>
        <v>0.98136224098140767</v>
      </c>
      <c r="J51">
        <f>(C51-C45)/(D51-D45)</f>
        <v>294.98210323039854</v>
      </c>
      <c r="K51" t="s">
        <v>146</v>
      </c>
      <c r="L51">
        <v>5.0999999999999996</v>
      </c>
      <c r="N51" s="196">
        <f t="shared" si="0"/>
        <v>26.571557587752203</v>
      </c>
      <c r="O51">
        <v>15430.219067767999</v>
      </c>
      <c r="P51" s="284">
        <v>293.12209487147652</v>
      </c>
      <c r="Q51">
        <f t="shared" si="1"/>
        <v>0.94681568726730769</v>
      </c>
    </row>
    <row r="52" spans="1:17" x14ac:dyDescent="0.3">
      <c r="A52" t="s">
        <v>118</v>
      </c>
      <c r="B52" t="s">
        <v>332</v>
      </c>
      <c r="C52">
        <v>2606.9873477145002</v>
      </c>
      <c r="D52">
        <v>260.85664169149999</v>
      </c>
      <c r="E52" s="45" t="s">
        <v>171</v>
      </c>
      <c r="F52" s="2"/>
      <c r="K52" t="s">
        <v>144</v>
      </c>
      <c r="L52">
        <v>5.3</v>
      </c>
      <c r="N52" s="196">
        <f t="shared" si="0"/>
        <v>26.3715575877522</v>
      </c>
      <c r="O52">
        <v>10604.303028234999</v>
      </c>
      <c r="P52" s="284">
        <v>293.12209487147652</v>
      </c>
      <c r="Q52">
        <f t="shared" si="1"/>
        <v>0.88992486835861428</v>
      </c>
    </row>
    <row r="53" spans="1:17" x14ac:dyDescent="0.3">
      <c r="A53" t="s">
        <v>118</v>
      </c>
      <c r="B53" t="s">
        <v>220</v>
      </c>
      <c r="C53">
        <v>2732.9433004721</v>
      </c>
      <c r="D53">
        <v>284.06009243667</v>
      </c>
      <c r="F53" s="45" t="s">
        <v>172</v>
      </c>
      <c r="H53">
        <f>G55*(C53-C55)+D55</f>
        <v>286.18652432745722</v>
      </c>
      <c r="I53" s="202">
        <f>D53/H53</f>
        <v>0.99256976932864205</v>
      </c>
      <c r="J53">
        <f>(C53-C45)/(D53-D45)</f>
        <v>76.746472717113733</v>
      </c>
      <c r="K53" t="s">
        <v>146</v>
      </c>
      <c r="L53">
        <v>5.3</v>
      </c>
      <c r="N53" s="196">
        <f t="shared" si="0"/>
        <v>26.3715575877522</v>
      </c>
      <c r="O53">
        <v>10890.740907333</v>
      </c>
      <c r="P53" s="284">
        <v>293.12209487147652</v>
      </c>
      <c r="Q53">
        <f t="shared" si="1"/>
        <v>0.96908454670133315</v>
      </c>
    </row>
    <row r="54" spans="1:17" x14ac:dyDescent="0.3">
      <c r="A54" t="s">
        <v>118</v>
      </c>
      <c r="B54" t="s">
        <v>333</v>
      </c>
      <c r="C54">
        <v>2892.1161557567002</v>
      </c>
      <c r="D54">
        <v>288.39381740754999</v>
      </c>
      <c r="F54" s="45" t="s">
        <v>172</v>
      </c>
      <c r="H54">
        <f>G55*(C54-C55)+D55</f>
        <v>288.81978564428744</v>
      </c>
      <c r="I54" s="202">
        <f>D54/H54</f>
        <v>0.99852514177383234</v>
      </c>
      <c r="J54">
        <f>(C54-C45)/(D54-D45)</f>
        <v>62.554177247820739</v>
      </c>
      <c r="K54" t="s">
        <v>146</v>
      </c>
      <c r="L54">
        <v>4.4000000000000004</v>
      </c>
      <c r="N54" s="196">
        <f t="shared" si="0"/>
        <v>27.271557587752199</v>
      </c>
      <c r="O54">
        <v>11979.414444038001</v>
      </c>
      <c r="P54" s="284">
        <v>293.12209487147652</v>
      </c>
      <c r="Q54">
        <f t="shared" si="1"/>
        <v>0.98386925603134856</v>
      </c>
    </row>
    <row r="55" spans="1:17" x14ac:dyDescent="0.3">
      <c r="A55" t="s">
        <v>118</v>
      </c>
      <c r="B55" t="s">
        <v>334</v>
      </c>
      <c r="C55">
        <v>3002.3394733522</v>
      </c>
      <c r="D55">
        <v>290.64325484019997</v>
      </c>
      <c r="F55" s="2">
        <f>(C55-C45)/(D55-D45)</f>
        <v>60.447041190810005</v>
      </c>
      <c r="G55" s="45">
        <f>1/F55</f>
        <v>1.6543406927782493E-2</v>
      </c>
      <c r="K55" t="s">
        <v>143</v>
      </c>
      <c r="L55">
        <v>3.9</v>
      </c>
      <c r="N55" s="196">
        <f t="shared" si="0"/>
        <v>27.771557587752202</v>
      </c>
      <c r="O55">
        <v>12758.68396998</v>
      </c>
      <c r="P55" s="284">
        <v>293.12209487147652</v>
      </c>
      <c r="Q55">
        <f t="shared" si="1"/>
        <v>0.99154331906517168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181FB-31D3-45D3-81A1-836C208EEB52}">
  <dimension ref="A1:P10"/>
  <sheetViews>
    <sheetView zoomScale="80" zoomScaleNormal="80" workbookViewId="0">
      <selection activeCell="P1" sqref="P1"/>
    </sheetView>
  </sheetViews>
  <sheetFormatPr defaultRowHeight="14.4" x14ac:dyDescent="0.3"/>
  <cols>
    <col min="1" max="1" width="10.44140625" customWidth="1"/>
    <col min="2" max="2" width="21.44140625" customWidth="1"/>
    <col min="3" max="3" width="13.33203125" customWidth="1"/>
    <col min="4" max="4" width="12.5546875" customWidth="1"/>
    <col min="5" max="5" width="18.33203125" bestFit="1" customWidth="1"/>
    <col min="6" max="6" width="17.6640625" bestFit="1" customWidth="1"/>
    <col min="7" max="7" width="12.77734375" customWidth="1"/>
    <col min="8" max="8" width="13.44140625" customWidth="1"/>
    <col min="9" max="9" width="16.109375" customWidth="1"/>
    <col min="10" max="10" width="13.77734375" customWidth="1"/>
    <col min="13" max="13" width="10" customWidth="1"/>
    <col min="14" max="14" width="10.109375" customWidth="1"/>
  </cols>
  <sheetData>
    <row r="1" spans="1:16" ht="72" x14ac:dyDescent="0.3">
      <c r="A1" s="126" t="s">
        <v>116</v>
      </c>
      <c r="B1" s="126" t="s">
        <v>117</v>
      </c>
      <c r="C1" s="126" t="s">
        <v>164</v>
      </c>
      <c r="D1" s="126" t="s">
        <v>21</v>
      </c>
      <c r="E1" s="126" t="s">
        <v>165</v>
      </c>
      <c r="F1" s="126" t="s">
        <v>166</v>
      </c>
      <c r="G1" s="126" t="s">
        <v>167</v>
      </c>
      <c r="H1" s="126" t="s">
        <v>168</v>
      </c>
      <c r="I1" s="126" t="s">
        <v>169</v>
      </c>
      <c r="J1" s="126" t="s">
        <v>173</v>
      </c>
      <c r="K1" s="126" t="s">
        <v>170</v>
      </c>
      <c r="L1" s="126" t="s">
        <v>276</v>
      </c>
      <c r="M1" s="252" t="s">
        <v>277</v>
      </c>
      <c r="N1" s="252" t="s">
        <v>278</v>
      </c>
      <c r="O1" s="252" t="s">
        <v>336</v>
      </c>
      <c r="P1" s="362" t="s">
        <v>354</v>
      </c>
    </row>
    <row r="2" spans="1:16" x14ac:dyDescent="0.3">
      <c r="A2" t="s">
        <v>118</v>
      </c>
      <c r="B2" t="s">
        <v>290</v>
      </c>
      <c r="C2" s="298">
        <v>1135.1323754159</v>
      </c>
      <c r="D2">
        <v>201.40062716271001</v>
      </c>
      <c r="E2" s="45"/>
      <c r="F2" s="45"/>
      <c r="G2" s="45"/>
      <c r="H2" s="45"/>
      <c r="I2" s="45"/>
      <c r="J2" s="45"/>
      <c r="K2" s="45" t="s">
        <v>143</v>
      </c>
      <c r="L2" s="45">
        <v>13.3</v>
      </c>
      <c r="M2" s="254">
        <v>31.671557587752201</v>
      </c>
      <c r="N2" s="196">
        <f>$M$2-L2</f>
        <v>18.3715575877522</v>
      </c>
      <c r="O2" s="45">
        <v>6865.3200089339998</v>
      </c>
    </row>
    <row r="3" spans="1:16" x14ac:dyDescent="0.3">
      <c r="A3" t="s">
        <v>118</v>
      </c>
      <c r="B3" t="s">
        <v>300</v>
      </c>
      <c r="C3">
        <v>1366.3816903768</v>
      </c>
      <c r="D3">
        <v>205.17713539936</v>
      </c>
      <c r="E3" s="45"/>
      <c r="F3" s="45" t="s">
        <v>172</v>
      </c>
      <c r="G3" s="45"/>
      <c r="H3" s="45">
        <f>G4*(C3-C4)+D4</f>
        <v>226.32948271874218</v>
      </c>
      <c r="I3" s="202">
        <f>D3/H3</f>
        <v>0.9065417944436871</v>
      </c>
      <c r="J3" s="45"/>
      <c r="K3" s="45" t="s">
        <v>144</v>
      </c>
      <c r="L3" s="45">
        <v>12.8</v>
      </c>
      <c r="M3" s="45"/>
      <c r="N3" s="196">
        <f t="shared" ref="N3:N10" si="0">$M$2-L3</f>
        <v>18.8715575877522</v>
      </c>
      <c r="O3" s="45">
        <v>6502.4172834603996</v>
      </c>
    </row>
    <row r="4" spans="1:16" x14ac:dyDescent="0.3">
      <c r="A4" t="s">
        <v>118</v>
      </c>
      <c r="B4" t="s">
        <v>302</v>
      </c>
      <c r="C4">
        <v>1402.4219882576001</v>
      </c>
      <c r="D4">
        <v>230.21465479035999</v>
      </c>
      <c r="E4" s="45"/>
      <c r="F4" s="45">
        <f>(C4-C2)/(D4-D2)</f>
        <v>9.2763710889625379</v>
      </c>
      <c r="G4" s="45">
        <f>1/F4</f>
        <v>0.1078007758001237</v>
      </c>
      <c r="H4" s="45"/>
      <c r="I4" s="202"/>
      <c r="J4" s="45"/>
      <c r="K4" s="45" t="s">
        <v>143</v>
      </c>
      <c r="L4" s="45">
        <v>10.7</v>
      </c>
      <c r="M4" s="45"/>
      <c r="N4" s="196">
        <f t="shared" si="0"/>
        <v>20.971557587752201</v>
      </c>
      <c r="O4" s="45">
        <v>9265.0563851854004</v>
      </c>
    </row>
    <row r="5" spans="1:16" x14ac:dyDescent="0.3">
      <c r="A5" t="s">
        <v>118</v>
      </c>
      <c r="B5" t="s">
        <v>308</v>
      </c>
      <c r="C5">
        <v>1524.132766276</v>
      </c>
      <c r="D5">
        <v>217.62770007302001</v>
      </c>
      <c r="E5" s="45" t="s">
        <v>171</v>
      </c>
      <c r="F5" s="45"/>
      <c r="G5" s="45"/>
      <c r="H5" s="45"/>
      <c r="I5" s="45"/>
      <c r="J5" s="45"/>
      <c r="K5" s="45" t="s">
        <v>144</v>
      </c>
      <c r="L5" s="45">
        <v>11.2</v>
      </c>
      <c r="M5" s="45"/>
      <c r="N5" s="196">
        <f t="shared" si="0"/>
        <v>20.471557587752201</v>
      </c>
      <c r="O5" s="45">
        <v>4381.2405774803001</v>
      </c>
    </row>
    <row r="6" spans="1:16" x14ac:dyDescent="0.3">
      <c r="A6" t="s">
        <v>118</v>
      </c>
      <c r="B6" t="s">
        <v>316</v>
      </c>
      <c r="C6">
        <v>1676.0010360894</v>
      </c>
      <c r="D6">
        <v>233.73483325814999</v>
      </c>
      <c r="E6" s="45"/>
      <c r="F6" s="45" t="s">
        <v>172</v>
      </c>
      <c r="G6" s="45"/>
      <c r="H6" s="73">
        <f>G8*(C6-C8)+D8</f>
        <v>248.1745448924149</v>
      </c>
      <c r="I6" s="202">
        <f>D6/H6</f>
        <v>0.94181630658162541</v>
      </c>
      <c r="J6" s="45"/>
      <c r="K6" s="45" t="s">
        <v>144</v>
      </c>
      <c r="L6" s="45">
        <v>10.199999999999999</v>
      </c>
      <c r="M6" s="45"/>
      <c r="N6" s="196">
        <f t="shared" si="0"/>
        <v>21.471557587752201</v>
      </c>
      <c r="O6" s="45">
        <v>8461.5300104023008</v>
      </c>
    </row>
    <row r="7" spans="1:16" x14ac:dyDescent="0.3">
      <c r="A7" t="s">
        <v>118</v>
      </c>
      <c r="B7" t="s">
        <v>218</v>
      </c>
      <c r="C7">
        <v>1865.7403386213</v>
      </c>
      <c r="D7">
        <v>250.22782031078</v>
      </c>
      <c r="E7" s="45"/>
      <c r="F7" s="45" t="s">
        <v>172</v>
      </c>
      <c r="G7" s="45"/>
      <c r="H7" s="73">
        <f>G8*(C7-C8)+D8</f>
        <v>260.6305317398016</v>
      </c>
      <c r="I7" s="202">
        <f>D7/H7</f>
        <v>0.96008636685970827</v>
      </c>
      <c r="J7" s="45"/>
      <c r="K7" s="45" t="s">
        <v>144</v>
      </c>
      <c r="L7" s="45">
        <v>8.5</v>
      </c>
      <c r="M7" s="45"/>
      <c r="N7" s="196">
        <f t="shared" si="0"/>
        <v>23.171557587752201</v>
      </c>
      <c r="O7" s="45">
        <v>5958.3762452202</v>
      </c>
    </row>
    <row r="8" spans="1:16" x14ac:dyDescent="0.3">
      <c r="A8" t="s">
        <v>118</v>
      </c>
      <c r="B8" t="s">
        <v>216</v>
      </c>
      <c r="C8">
        <v>1937.2268891053</v>
      </c>
      <c r="D8">
        <v>265.32347369074</v>
      </c>
      <c r="E8" s="45"/>
      <c r="F8" s="45">
        <f>(C8-C4)/(D8-D4)</f>
        <v>15.232779614865118</v>
      </c>
      <c r="G8" s="45">
        <f>1/F8</f>
        <v>6.5647900467498146E-2</v>
      </c>
      <c r="H8" s="73"/>
      <c r="I8" s="197"/>
      <c r="J8" s="45"/>
      <c r="K8" s="45" t="s">
        <v>143</v>
      </c>
      <c r="L8" s="45">
        <v>7.2</v>
      </c>
      <c r="M8" s="45"/>
      <c r="N8" s="196">
        <f t="shared" si="0"/>
        <v>24.471557587752201</v>
      </c>
      <c r="O8" s="45">
        <v>15563.470299803999</v>
      </c>
    </row>
    <row r="9" spans="1:16" x14ac:dyDescent="0.3">
      <c r="A9" t="s">
        <v>118</v>
      </c>
      <c r="B9" t="s">
        <v>217</v>
      </c>
      <c r="C9">
        <v>2284.6410084603999</v>
      </c>
      <c r="D9">
        <v>268.18430282168998</v>
      </c>
      <c r="E9" s="45"/>
      <c r="F9" s="45" t="s">
        <v>172</v>
      </c>
      <c r="G9" s="45"/>
      <c r="H9" s="45">
        <f>G10*(C9-C10)+D10</f>
        <v>273.5039834908689</v>
      </c>
      <c r="I9" s="202">
        <f>D9/H9</f>
        <v>0.98054989692917394</v>
      </c>
      <c r="J9" s="45">
        <f>(C9-C8)/(D9-D8)</f>
        <v>121.43826263392948</v>
      </c>
      <c r="K9" s="45" t="s">
        <v>146</v>
      </c>
      <c r="L9" s="45">
        <v>6.9</v>
      </c>
      <c r="M9" s="45"/>
      <c r="N9" s="196">
        <f t="shared" si="0"/>
        <v>24.771557587752199</v>
      </c>
      <c r="O9" s="45">
        <v>13083.720832842</v>
      </c>
    </row>
    <row r="10" spans="1:16" x14ac:dyDescent="0.3">
      <c r="A10" t="s">
        <v>118</v>
      </c>
      <c r="B10" t="s">
        <v>220</v>
      </c>
      <c r="C10">
        <v>2732.9433004721</v>
      </c>
      <c r="D10">
        <v>284.06009243667</v>
      </c>
      <c r="E10" s="45"/>
      <c r="F10" s="45">
        <f>(C10-C8)/(D10-D8)</f>
        <v>42.468516980399507</v>
      </c>
      <c r="G10" s="45">
        <f>1/F10</f>
        <v>2.3546854731506871E-2</v>
      </c>
      <c r="H10" s="45"/>
      <c r="I10" s="45"/>
      <c r="J10" s="45"/>
      <c r="K10" s="45" t="s">
        <v>143</v>
      </c>
      <c r="L10" s="45">
        <v>5.3</v>
      </c>
      <c r="M10" s="45"/>
      <c r="N10" s="196">
        <f t="shared" si="0"/>
        <v>26.3715575877522</v>
      </c>
      <c r="O10" s="45">
        <v>10890.740907333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4CCCB-F8E6-4C35-93D1-EEEAA9AEB7EA}">
  <dimension ref="A1"/>
  <sheetViews>
    <sheetView workbookViewId="0">
      <selection activeCell="A2" sqref="A2"/>
    </sheetView>
  </sheetViews>
  <sheetFormatPr defaultRowHeight="14.4" x14ac:dyDescent="0.3"/>
  <sheetData>
    <row r="1" spans="1:1" x14ac:dyDescent="0.3">
      <c r="A1" s="18" t="s">
        <v>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MedicalDecisionMaking</vt:lpstr>
      <vt:lpstr>SummaryQualCOL45-85</vt:lpstr>
      <vt:lpstr>SummaryQuantCOL</vt:lpstr>
      <vt:lpstr>COL</vt:lpstr>
      <vt:lpstr>Intermediate COL</vt:lpstr>
      <vt:lpstr>Quant COL MISCAN as Ref</vt:lpstr>
      <vt:lpstr>Quant COL CRCSPIN as Ref</vt:lpstr>
      <vt:lpstr>Quant COL SimCRC as Ref</vt:lpstr>
      <vt:lpstr>Qual COL CRC-AIM_45-85</vt:lpstr>
      <vt:lpstr>Qual COL CRC-SPIN_45-85</vt:lpstr>
      <vt:lpstr>Qual COL SimCRC_45-85</vt:lpstr>
      <vt:lpstr>Qual COL MISCAN_45-85</vt:lpstr>
      <vt:lpstr>Qual COL CRC-AIM_50-85</vt:lpstr>
      <vt:lpstr>Qual COL CRC-AIM_50-75</vt:lpstr>
      <vt:lpstr>Qual CISNET COL 50-85</vt:lpstr>
      <vt:lpstr>Qual Stool CRC-AIM_50-85</vt:lpstr>
      <vt:lpstr>Qual StoolCRC-AIM_50-75 Peterse</vt:lpstr>
      <vt:lpstr>version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TC</dc:creator>
  <cp:lastModifiedBy>TC</cp:lastModifiedBy>
  <dcterms:created xsi:type="dcterms:W3CDTF">2019-12-13T18:42:01Z</dcterms:created>
  <dcterms:modified xsi:type="dcterms:W3CDTF">2020-05-15T03:58:57Z</dcterms:modified>
</cp:coreProperties>
</file>