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8"/>
  <workbookPr autoCompressPictures="0" defaultThemeVersion="166925"/>
  <mc:AlternateContent xmlns:mc="http://schemas.openxmlformats.org/markup-compatibility/2006">
    <mc:Choice Requires="x15">
      <x15ac:absPath xmlns:x15ac="http://schemas.microsoft.com/office/spreadsheetml/2010/11/ac" url="/Users/UQAM/Dropbox (CEDIA)/projets/simfin/Model/simfin/params/"/>
    </mc:Choice>
  </mc:AlternateContent>
  <xr:revisionPtr revIDLastSave="0" documentId="13_ncr:1_{12F2CFCE-06A0-5B45-B49F-DC290243B19F}" xr6:coauthVersionLast="45" xr6:coauthVersionMax="45" xr10:uidLastSave="{00000000-0000-0000-0000-000000000000}"/>
  <bookViews>
    <workbookView xWindow="43020" yWindow="10420" windowWidth="25600" windowHeight="15540" xr2:uid="{00000000-000D-0000-FFFF-FFFF00000000}"/>
  </bookViews>
  <sheets>
    <sheet name="Consolidé" sheetId="1" r:id="rId1"/>
    <sheet name="Inputs" sheetId="2" r:id="rId2"/>
    <sheet name="Returns" sheetId="3" r:id="rId3"/>
    <sheet name="GenFundContrib" sheetId="4"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Q25" i="1" l="1"/>
  <c r="S25" i="1"/>
  <c r="S24" i="1"/>
  <c r="R25" i="1"/>
  <c r="R24" i="1"/>
  <c r="O72" i="1" l="1"/>
  <c r="N72" i="1"/>
  <c r="M72" i="1"/>
  <c r="L72" i="1"/>
  <c r="K72" i="1"/>
  <c r="J72" i="1"/>
  <c r="I72" i="1"/>
  <c r="H72" i="1"/>
  <c r="G72" i="1"/>
  <c r="F72" i="1"/>
  <c r="E72" i="1"/>
  <c r="D72" i="1"/>
  <c r="C72" i="1"/>
  <c r="B72" i="1"/>
  <c r="Q38" i="1" l="1"/>
  <c r="Q35" i="1"/>
  <c r="Q11" i="1"/>
  <c r="Q63" i="1"/>
  <c r="Q56" i="1"/>
  <c r="Q52" i="1"/>
  <c r="Q31" i="1"/>
  <c r="Q30" i="1"/>
  <c r="Q28" i="1"/>
  <c r="Q19" i="1"/>
  <c r="Q18" i="1"/>
  <c r="Q15" i="1"/>
  <c r="Q14" i="1"/>
  <c r="Q13" i="1"/>
  <c r="Q10" i="1"/>
  <c r="Q9" i="1"/>
  <c r="H27" i="1" l="1"/>
  <c r="G27" i="1"/>
  <c r="F27" i="1"/>
  <c r="E27" i="1"/>
  <c r="D27" i="1"/>
  <c r="C27" i="1"/>
  <c r="B27" i="1"/>
  <c r="Q27" i="1" s="1"/>
  <c r="H26" i="1"/>
  <c r="H17" i="2" s="1"/>
  <c r="G26" i="1"/>
  <c r="G17" i="2" s="1"/>
  <c r="F26" i="1"/>
  <c r="E26" i="1"/>
  <c r="D26" i="1"/>
  <c r="C26" i="1"/>
  <c r="B26" i="1"/>
  <c r="Q26" i="1" s="1"/>
  <c r="H25" i="1"/>
  <c r="G25" i="1"/>
  <c r="F25" i="1"/>
  <c r="E25" i="1"/>
  <c r="D25" i="1"/>
  <c r="C25" i="1"/>
  <c r="B25" i="1"/>
  <c r="H24" i="1"/>
  <c r="H15" i="2" s="1"/>
  <c r="G24" i="1"/>
  <c r="G15" i="2" s="1"/>
  <c r="F24" i="1"/>
  <c r="F15" i="2" s="1"/>
  <c r="E24" i="1"/>
  <c r="D24" i="1"/>
  <c r="C24" i="1"/>
  <c r="B24" i="1"/>
  <c r="Q24" i="1" s="1"/>
  <c r="K15" i="1"/>
  <c r="J15" i="1"/>
  <c r="I15" i="1"/>
  <c r="H15" i="1"/>
  <c r="G15" i="1"/>
  <c r="G11" i="2" s="1"/>
  <c r="F15" i="1"/>
  <c r="F11" i="2" s="1"/>
  <c r="E15" i="1"/>
  <c r="E11" i="2" s="1"/>
  <c r="D15" i="1"/>
  <c r="D11" i="2" s="1"/>
  <c r="C15" i="1"/>
  <c r="K14" i="1"/>
  <c r="J14" i="1"/>
  <c r="I14" i="1"/>
  <c r="H14" i="1"/>
  <c r="G14" i="1"/>
  <c r="F14" i="1"/>
  <c r="E14" i="1"/>
  <c r="D14" i="1"/>
  <c r="C14" i="1"/>
  <c r="O12" i="1"/>
  <c r="K12" i="1"/>
  <c r="K8" i="2" s="1"/>
  <c r="H12" i="1"/>
  <c r="G12" i="1"/>
  <c r="F12" i="1"/>
  <c r="E12" i="1"/>
  <c r="D12" i="1"/>
  <c r="C12" i="1"/>
  <c r="B12" i="1"/>
  <c r="N8" i="1"/>
  <c r="M8" i="1"/>
  <c r="L8" i="1"/>
  <c r="K8" i="1"/>
  <c r="J8" i="1"/>
  <c r="J4" i="2" s="1"/>
  <c r="I8" i="1"/>
  <c r="H8" i="1"/>
  <c r="G8" i="1"/>
  <c r="F8" i="1"/>
  <c r="E8" i="1"/>
  <c r="D8" i="1"/>
  <c r="C8" i="1"/>
  <c r="B8" i="1"/>
  <c r="Q8" i="1" s="1"/>
  <c r="H6" i="1"/>
  <c r="H3" i="2" s="1"/>
  <c r="G6" i="1"/>
  <c r="G3" i="2" s="1"/>
  <c r="F6" i="1"/>
  <c r="F3" i="2" s="1"/>
  <c r="E6" i="1"/>
  <c r="E3" i="2" s="1"/>
  <c r="D6" i="1"/>
  <c r="C6" i="1"/>
  <c r="B6" i="1"/>
  <c r="Q6" i="1" s="1"/>
  <c r="N5" i="1"/>
  <c r="M5" i="1"/>
  <c r="L5" i="1"/>
  <c r="K5" i="1"/>
  <c r="J5" i="1"/>
  <c r="J16" i="1" s="1"/>
  <c r="I5" i="1"/>
  <c r="I16" i="1" s="1"/>
  <c r="H5" i="1"/>
  <c r="H16" i="1" s="1"/>
  <c r="G5" i="1"/>
  <c r="G16" i="1" s="1"/>
  <c r="F5" i="1"/>
  <c r="E5" i="1"/>
  <c r="D5" i="1"/>
  <c r="C5" i="1"/>
  <c r="B5" i="1"/>
  <c r="Q5" i="1" s="1"/>
  <c r="C3" i="3"/>
  <c r="C2" i="3"/>
  <c r="B15" i="3"/>
  <c r="B14" i="3"/>
  <c r="B13" i="3"/>
  <c r="B12" i="3"/>
  <c r="B11" i="3"/>
  <c r="B10" i="3"/>
  <c r="B9" i="3"/>
  <c r="B8" i="3"/>
  <c r="B7" i="3"/>
  <c r="B6" i="3"/>
  <c r="B5" i="3"/>
  <c r="B4" i="3"/>
  <c r="B3" i="3"/>
  <c r="B2" i="3"/>
  <c r="E38" i="2"/>
  <c r="O37" i="2"/>
  <c r="N37" i="2"/>
  <c r="M37" i="2"/>
  <c r="L37" i="2"/>
  <c r="K37" i="2"/>
  <c r="J37" i="2"/>
  <c r="I37" i="2"/>
  <c r="H37" i="2"/>
  <c r="G37" i="2"/>
  <c r="F37" i="2"/>
  <c r="E37" i="2"/>
  <c r="B37" i="2"/>
  <c r="O35" i="2"/>
  <c r="N35" i="2"/>
  <c r="M35" i="2"/>
  <c r="L35" i="2"/>
  <c r="K35" i="2"/>
  <c r="J35" i="2"/>
  <c r="I35" i="2"/>
  <c r="H35" i="2"/>
  <c r="G35" i="2"/>
  <c r="F35" i="2"/>
  <c r="E35" i="2"/>
  <c r="D35" i="2"/>
  <c r="C35" i="2"/>
  <c r="B35" i="2"/>
  <c r="O34" i="2"/>
  <c r="N34" i="2"/>
  <c r="M34" i="2"/>
  <c r="L34" i="2"/>
  <c r="K34" i="2"/>
  <c r="J34" i="2"/>
  <c r="I34" i="2"/>
  <c r="H34" i="2"/>
  <c r="G34" i="2"/>
  <c r="F34" i="2"/>
  <c r="E34" i="2"/>
  <c r="D34" i="2"/>
  <c r="C34" i="2"/>
  <c r="B34" i="2"/>
  <c r="O31" i="2"/>
  <c r="N31" i="2"/>
  <c r="M31" i="2"/>
  <c r="L31" i="2"/>
  <c r="K31" i="2"/>
  <c r="J31" i="2"/>
  <c r="I31" i="2"/>
  <c r="H31" i="2"/>
  <c r="G31" i="2"/>
  <c r="F31" i="2"/>
  <c r="E31" i="2"/>
  <c r="D31" i="2"/>
  <c r="C31" i="2"/>
  <c r="B31" i="2"/>
  <c r="O29" i="1"/>
  <c r="O32" i="1" s="1"/>
  <c r="N29" i="1"/>
  <c r="N32" i="1" s="1"/>
  <c r="M29" i="1"/>
  <c r="M32" i="1" s="1"/>
  <c r="L16" i="1"/>
  <c r="L22" i="1" s="1"/>
  <c r="L33" i="1" s="1"/>
  <c r="L29" i="1"/>
  <c r="L32" i="1"/>
  <c r="K29" i="1"/>
  <c r="K32" i="1" s="1"/>
  <c r="J29" i="1"/>
  <c r="J32" i="1"/>
  <c r="I29" i="1"/>
  <c r="I32" i="1" s="1"/>
  <c r="D30" i="2"/>
  <c r="C30" i="2"/>
  <c r="B30" i="2"/>
  <c r="D29" i="2"/>
  <c r="C29" i="2"/>
  <c r="B29" i="2"/>
  <c r="E16" i="1"/>
  <c r="D28" i="2"/>
  <c r="C28" i="2"/>
  <c r="B28" i="2"/>
  <c r="F27" i="2"/>
  <c r="D27" i="2"/>
  <c r="C27" i="2"/>
  <c r="B27" i="2"/>
  <c r="O26" i="2"/>
  <c r="N26" i="2"/>
  <c r="M26" i="2"/>
  <c r="L26" i="2"/>
  <c r="K26" i="2"/>
  <c r="J26" i="2"/>
  <c r="I26" i="2"/>
  <c r="H26" i="2"/>
  <c r="G26" i="2"/>
  <c r="F26" i="2"/>
  <c r="E26" i="2"/>
  <c r="D26" i="2"/>
  <c r="C26" i="2"/>
  <c r="B26" i="2"/>
  <c r="O24" i="2"/>
  <c r="N24" i="2"/>
  <c r="M24" i="2"/>
  <c r="L24" i="2"/>
  <c r="K24" i="2"/>
  <c r="J24" i="2"/>
  <c r="I24" i="2"/>
  <c r="H24" i="2"/>
  <c r="G24" i="2"/>
  <c r="F24" i="2"/>
  <c r="E24" i="2"/>
  <c r="D24" i="2"/>
  <c r="C24" i="2"/>
  <c r="B24" i="2"/>
  <c r="O23" i="2"/>
  <c r="N23" i="2"/>
  <c r="M23" i="2"/>
  <c r="L23" i="2"/>
  <c r="K23" i="2"/>
  <c r="J23" i="2"/>
  <c r="I23" i="2"/>
  <c r="H23" i="2"/>
  <c r="G23" i="2"/>
  <c r="F23" i="2"/>
  <c r="E23" i="2"/>
  <c r="D23" i="2"/>
  <c r="B23" i="2"/>
  <c r="B22" i="2"/>
  <c r="O21" i="2"/>
  <c r="N21" i="2"/>
  <c r="M21" i="2"/>
  <c r="L21" i="2"/>
  <c r="K21" i="2"/>
  <c r="J21" i="2"/>
  <c r="I21" i="2"/>
  <c r="H21" i="2"/>
  <c r="G21" i="2"/>
  <c r="F21" i="2"/>
  <c r="E21" i="2"/>
  <c r="D21" i="2"/>
  <c r="C21" i="2"/>
  <c r="B21" i="2"/>
  <c r="O20" i="2"/>
  <c r="N20" i="2"/>
  <c r="M20" i="2"/>
  <c r="L20" i="2"/>
  <c r="K20" i="2"/>
  <c r="J20" i="2"/>
  <c r="I20" i="2"/>
  <c r="H20" i="2"/>
  <c r="G20" i="2"/>
  <c r="F20" i="2"/>
  <c r="E20" i="2"/>
  <c r="D20" i="2"/>
  <c r="C20" i="2"/>
  <c r="B20" i="2"/>
  <c r="O19" i="2"/>
  <c r="N19" i="2"/>
  <c r="M19" i="2"/>
  <c r="L19" i="2"/>
  <c r="K19" i="2"/>
  <c r="J19" i="2"/>
  <c r="I19" i="2"/>
  <c r="H19" i="2"/>
  <c r="G19" i="2"/>
  <c r="F19" i="2"/>
  <c r="E19" i="2"/>
  <c r="D19" i="2"/>
  <c r="C19" i="2"/>
  <c r="B19" i="2"/>
  <c r="O18" i="2"/>
  <c r="N18" i="2"/>
  <c r="M18" i="2"/>
  <c r="L18" i="2"/>
  <c r="K18" i="2"/>
  <c r="J18" i="2"/>
  <c r="I18" i="2"/>
  <c r="H18" i="2"/>
  <c r="G18" i="2"/>
  <c r="F18" i="2"/>
  <c r="E18" i="2"/>
  <c r="D18" i="2"/>
  <c r="C18" i="2"/>
  <c r="B18" i="2"/>
  <c r="O17" i="2"/>
  <c r="N17" i="2"/>
  <c r="M17" i="2"/>
  <c r="L17" i="2"/>
  <c r="K17" i="2"/>
  <c r="J17" i="2"/>
  <c r="I17" i="2"/>
  <c r="C17" i="2"/>
  <c r="B17" i="2"/>
  <c r="O16" i="2"/>
  <c r="N16" i="2"/>
  <c r="M16" i="2"/>
  <c r="L16" i="2"/>
  <c r="K16" i="2"/>
  <c r="J16" i="2"/>
  <c r="I16" i="2"/>
  <c r="H16" i="2"/>
  <c r="G16" i="2"/>
  <c r="F16" i="2"/>
  <c r="E16" i="2"/>
  <c r="D16" i="2"/>
  <c r="C16" i="2"/>
  <c r="B16" i="2"/>
  <c r="O15" i="2"/>
  <c r="N15" i="2"/>
  <c r="M15" i="2"/>
  <c r="L15" i="2"/>
  <c r="K15" i="2"/>
  <c r="J15" i="2"/>
  <c r="I15" i="2"/>
  <c r="E15" i="2"/>
  <c r="D15" i="2"/>
  <c r="C15" i="2"/>
  <c r="B15" i="2"/>
  <c r="O13" i="2"/>
  <c r="N13" i="2"/>
  <c r="M13" i="2"/>
  <c r="L13" i="2"/>
  <c r="K13" i="2"/>
  <c r="J13" i="2"/>
  <c r="I13" i="2"/>
  <c r="H13" i="2"/>
  <c r="G13" i="2"/>
  <c r="F13" i="2"/>
  <c r="E13" i="2"/>
  <c r="D13" i="2"/>
  <c r="C13" i="2"/>
  <c r="B13" i="2"/>
  <c r="O12" i="2"/>
  <c r="N12" i="2"/>
  <c r="M12" i="2"/>
  <c r="L12" i="2"/>
  <c r="K12" i="2"/>
  <c r="J12" i="2"/>
  <c r="I12" i="2"/>
  <c r="H12" i="2"/>
  <c r="G12" i="2"/>
  <c r="F12" i="2"/>
  <c r="E12" i="2"/>
  <c r="D12" i="2"/>
  <c r="C12" i="2"/>
  <c r="B12" i="2"/>
  <c r="O11" i="2"/>
  <c r="N11" i="2"/>
  <c r="M11" i="2"/>
  <c r="L11" i="2"/>
  <c r="K11" i="2"/>
  <c r="J11" i="2"/>
  <c r="I11" i="2"/>
  <c r="H11" i="2"/>
  <c r="C11" i="2"/>
  <c r="B11" i="2"/>
  <c r="O10" i="2"/>
  <c r="N10" i="2"/>
  <c r="M10" i="2"/>
  <c r="L10" i="2"/>
  <c r="K10" i="2"/>
  <c r="J10" i="2"/>
  <c r="I10" i="2"/>
  <c r="H10" i="2"/>
  <c r="G10" i="2"/>
  <c r="F10" i="2"/>
  <c r="E10" i="2"/>
  <c r="B10" i="2"/>
  <c r="O9" i="2"/>
  <c r="N9" i="2"/>
  <c r="M9" i="2"/>
  <c r="L9" i="2"/>
  <c r="K9" i="2"/>
  <c r="J9" i="2"/>
  <c r="I9" i="2"/>
  <c r="H9" i="2"/>
  <c r="G9" i="2"/>
  <c r="F9" i="2"/>
  <c r="E9" i="2"/>
  <c r="D9" i="2"/>
  <c r="C9" i="2"/>
  <c r="B9" i="2"/>
  <c r="O8" i="2"/>
  <c r="N8" i="2"/>
  <c r="M8" i="2"/>
  <c r="L8" i="2"/>
  <c r="J8" i="2"/>
  <c r="I8" i="2"/>
  <c r="H8" i="2"/>
  <c r="G8" i="2"/>
  <c r="F8" i="2"/>
  <c r="E8" i="2"/>
  <c r="D8" i="2"/>
  <c r="C8" i="2"/>
  <c r="B8" i="2"/>
  <c r="O7" i="2"/>
  <c r="N7" i="2"/>
  <c r="M7" i="2"/>
  <c r="L7" i="2"/>
  <c r="K7" i="2"/>
  <c r="J7" i="2"/>
  <c r="I7" i="2"/>
  <c r="H7" i="2"/>
  <c r="G7" i="2"/>
  <c r="F7" i="2"/>
  <c r="E7" i="2"/>
  <c r="D7" i="2"/>
  <c r="C7" i="2"/>
  <c r="B7" i="2"/>
  <c r="O6" i="2"/>
  <c r="N6" i="2"/>
  <c r="M6" i="2"/>
  <c r="L6" i="2"/>
  <c r="K6" i="2"/>
  <c r="J6" i="2"/>
  <c r="I6" i="2"/>
  <c r="H6" i="2"/>
  <c r="G6" i="2"/>
  <c r="F6" i="2"/>
  <c r="E6" i="2"/>
  <c r="D6" i="2"/>
  <c r="C6" i="2"/>
  <c r="B6" i="2"/>
  <c r="O5" i="2"/>
  <c r="N5" i="2"/>
  <c r="M5" i="2"/>
  <c r="L5" i="2"/>
  <c r="K5" i="2"/>
  <c r="J5" i="2"/>
  <c r="I5" i="2"/>
  <c r="H5" i="2"/>
  <c r="G5" i="2"/>
  <c r="F5" i="2"/>
  <c r="E5" i="2"/>
  <c r="D5" i="2"/>
  <c r="C5" i="2"/>
  <c r="B5" i="2"/>
  <c r="O4" i="2"/>
  <c r="N4" i="2"/>
  <c r="M4" i="2"/>
  <c r="L4" i="2"/>
  <c r="K4" i="2"/>
  <c r="I4" i="2"/>
  <c r="H4" i="2"/>
  <c r="G4" i="2"/>
  <c r="F4" i="2"/>
  <c r="E4" i="2"/>
  <c r="D4" i="2"/>
  <c r="C4" i="2"/>
  <c r="B4" i="2"/>
  <c r="O3" i="2"/>
  <c r="N3" i="2"/>
  <c r="M3" i="2"/>
  <c r="L3" i="2"/>
  <c r="K3" i="2"/>
  <c r="J3" i="2"/>
  <c r="I3" i="2"/>
  <c r="D3" i="2"/>
  <c r="C3" i="2"/>
  <c r="B3" i="2"/>
  <c r="O2" i="2"/>
  <c r="N2" i="2"/>
  <c r="M2" i="2"/>
  <c r="L2" i="2"/>
  <c r="K2" i="2"/>
  <c r="J2" i="2"/>
  <c r="E2" i="2"/>
  <c r="D2" i="2"/>
  <c r="C2" i="2"/>
  <c r="B2" i="2"/>
  <c r="O1" i="2"/>
  <c r="N1" i="2"/>
  <c r="M1" i="2"/>
  <c r="L1" i="2"/>
  <c r="K1" i="2"/>
  <c r="J1" i="2"/>
  <c r="I1" i="2"/>
  <c r="H1" i="2"/>
  <c r="G1" i="2"/>
  <c r="F1" i="2"/>
  <c r="E1" i="2"/>
  <c r="D1" i="2"/>
  <c r="C1" i="2"/>
  <c r="B1" i="2"/>
  <c r="B66" i="1"/>
  <c r="B38" i="2" s="1"/>
  <c r="B55" i="1"/>
  <c r="Q55" i="1" s="1"/>
  <c r="C55" i="1"/>
  <c r="C58" i="1"/>
  <c r="C36" i="2" s="1"/>
  <c r="C61" i="1"/>
  <c r="B20" i="1"/>
  <c r="B14" i="2" s="1"/>
  <c r="B21" i="1"/>
  <c r="B16" i="1"/>
  <c r="C66" i="1"/>
  <c r="C38" i="2" s="1"/>
  <c r="C63" i="1"/>
  <c r="C37" i="2" s="1"/>
  <c r="C38" i="1"/>
  <c r="C23" i="2" s="1"/>
  <c r="C20" i="1"/>
  <c r="C21" i="1" s="1"/>
  <c r="D66" i="1"/>
  <c r="D38" i="2" s="1"/>
  <c r="D63" i="1"/>
  <c r="D37" i="2" s="1"/>
  <c r="D55" i="1"/>
  <c r="D58" i="1"/>
  <c r="D36" i="2" s="1"/>
  <c r="D37" i="1"/>
  <c r="D22" i="2" s="1"/>
  <c r="D20" i="1"/>
  <c r="D21" i="1" s="1"/>
  <c r="E55" i="1"/>
  <c r="E49" i="1"/>
  <c r="E29" i="2" s="1"/>
  <c r="E37" i="1"/>
  <c r="E22" i="2" s="1"/>
  <c r="E47" i="1"/>
  <c r="E50" i="1" s="1"/>
  <c r="E30" i="2" s="1"/>
  <c r="E20" i="1"/>
  <c r="E14" i="2" s="1"/>
  <c r="F66" i="1"/>
  <c r="F38" i="2" s="1"/>
  <c r="F20" i="1"/>
  <c r="F14" i="2" s="1"/>
  <c r="F21" i="1"/>
  <c r="F37" i="1"/>
  <c r="F22" i="2" s="1"/>
  <c r="G66" i="1"/>
  <c r="G38" i="2" s="1"/>
  <c r="G37" i="1"/>
  <c r="G22" i="2" s="1"/>
  <c r="G20" i="1"/>
  <c r="G14" i="2" s="1"/>
  <c r="H66" i="1"/>
  <c r="H38" i="2" s="1"/>
  <c r="H37" i="1"/>
  <c r="H22" i="2" s="1"/>
  <c r="H20" i="1"/>
  <c r="H21" i="1" s="1"/>
  <c r="I66" i="1"/>
  <c r="I38" i="2" s="1"/>
  <c r="I20" i="1"/>
  <c r="I21" i="1" s="1"/>
  <c r="I37" i="1"/>
  <c r="I22" i="2" s="1"/>
  <c r="J66" i="1"/>
  <c r="J38" i="2" s="1"/>
  <c r="J37" i="1"/>
  <c r="J22" i="2" s="1"/>
  <c r="J20" i="1"/>
  <c r="J21" i="1" s="1"/>
  <c r="K66" i="1"/>
  <c r="K38" i="2" s="1"/>
  <c r="K37" i="1"/>
  <c r="K40" i="1" s="1"/>
  <c r="K41" i="1" s="1"/>
  <c r="K44" i="1" s="1"/>
  <c r="K20" i="1"/>
  <c r="K14" i="2" s="1"/>
  <c r="K21" i="1"/>
  <c r="L66" i="1"/>
  <c r="L38" i="2" s="1"/>
  <c r="L37" i="1"/>
  <c r="L22" i="2" s="1"/>
  <c r="L20" i="1"/>
  <c r="L14" i="2" s="1"/>
  <c r="L21" i="1"/>
  <c r="M37" i="1"/>
  <c r="M22" i="2" s="1"/>
  <c r="M66" i="1"/>
  <c r="M38" i="2" s="1"/>
  <c r="M20" i="1"/>
  <c r="M14" i="2" s="1"/>
  <c r="N58" i="1"/>
  <c r="N36" i="2" s="1"/>
  <c r="N61" i="1"/>
  <c r="N37" i="1"/>
  <c r="N22" i="2" s="1"/>
  <c r="N66" i="1"/>
  <c r="N38" i="2" s="1"/>
  <c r="M58" i="1"/>
  <c r="M61" i="1" s="1"/>
  <c r="L58" i="1"/>
  <c r="L36" i="2" s="1"/>
  <c r="L61" i="1"/>
  <c r="K58" i="1"/>
  <c r="K61" i="1" s="1"/>
  <c r="J58" i="1"/>
  <c r="J61" i="1" s="1"/>
  <c r="I58" i="1"/>
  <c r="I36" i="2" s="1"/>
  <c r="I61" i="1"/>
  <c r="H58" i="1"/>
  <c r="H36" i="2" s="1"/>
  <c r="H40" i="1"/>
  <c r="H41" i="1" s="1"/>
  <c r="H44" i="1" s="1"/>
  <c r="G58" i="1"/>
  <c r="G61" i="1" s="1"/>
  <c r="F58" i="1"/>
  <c r="F61" i="1" s="1"/>
  <c r="B40" i="1"/>
  <c r="B41" i="1"/>
  <c r="B44" i="1"/>
  <c r="B65" i="1" s="1"/>
  <c r="N20" i="1"/>
  <c r="N14" i="2" s="1"/>
  <c r="O58" i="1"/>
  <c r="O37" i="1"/>
  <c r="O66" i="1"/>
  <c r="Q66" i="1" s="1"/>
  <c r="O20" i="1"/>
  <c r="Q20" i="1" s="1"/>
  <c r="O21" i="1"/>
  <c r="Q21" i="1" s="1"/>
  <c r="O54" i="1"/>
  <c r="O33" i="2" s="1"/>
  <c r="N54" i="1"/>
  <c r="N53" i="1" s="1"/>
  <c r="M54" i="1"/>
  <c r="M33" i="2" s="1"/>
  <c r="M53" i="1"/>
  <c r="L54" i="1"/>
  <c r="L33" i="2" s="1"/>
  <c r="K54" i="1"/>
  <c r="K33" i="2" s="1"/>
  <c r="K53" i="1"/>
  <c r="J54" i="1"/>
  <c r="J33" i="2" s="1"/>
  <c r="I54" i="1"/>
  <c r="I33" i="2" s="1"/>
  <c r="I53" i="1"/>
  <c r="H54" i="1"/>
  <c r="H53" i="1" s="1"/>
  <c r="G54" i="1"/>
  <c r="G33" i="2" s="1"/>
  <c r="G53" i="1"/>
  <c r="G71" i="1" s="1"/>
  <c r="F54" i="1"/>
  <c r="F33" i="2" s="1"/>
  <c r="E54" i="1"/>
  <c r="E33" i="2" s="1"/>
  <c r="D54" i="1"/>
  <c r="D33" i="2" s="1"/>
  <c r="C54" i="1"/>
  <c r="C33" i="2" s="1"/>
  <c r="B54" i="1"/>
  <c r="B33" i="2" s="1"/>
  <c r="B53" i="1"/>
  <c r="O39" i="1"/>
  <c r="N39" i="1"/>
  <c r="C14" i="3" s="1"/>
  <c r="M39" i="1"/>
  <c r="C13" i="3" s="1"/>
  <c r="L39" i="1"/>
  <c r="C12" i="3" s="1"/>
  <c r="K39" i="1"/>
  <c r="C11" i="3" s="1"/>
  <c r="J39" i="1"/>
  <c r="C10" i="3" s="1"/>
  <c r="I39" i="1"/>
  <c r="C9" i="3" s="1"/>
  <c r="H39" i="1"/>
  <c r="C8" i="3" s="1"/>
  <c r="G39" i="1"/>
  <c r="C7" i="3" s="1"/>
  <c r="F39" i="1"/>
  <c r="C6" i="3" s="1"/>
  <c r="E39" i="1"/>
  <c r="C5" i="3" s="1"/>
  <c r="D39" i="1"/>
  <c r="C4" i="3" s="1"/>
  <c r="C29" i="1"/>
  <c r="C32" i="1" s="1"/>
  <c r="C37" i="1"/>
  <c r="C22" i="2" s="1"/>
  <c r="C40" i="1"/>
  <c r="C41" i="1"/>
  <c r="C44" i="1" s="1"/>
  <c r="C25" i="2" l="1"/>
  <c r="C65" i="1"/>
  <c r="C67" i="1" s="1"/>
  <c r="C39" i="2" s="1"/>
  <c r="K32" i="2"/>
  <c r="K71" i="1"/>
  <c r="J53" i="1"/>
  <c r="L53" i="1"/>
  <c r="N32" i="2"/>
  <c r="N71" i="1"/>
  <c r="N21" i="1"/>
  <c r="H61" i="1"/>
  <c r="N40" i="1"/>
  <c r="N41" i="1" s="1"/>
  <c r="N44" i="1" s="1"/>
  <c r="N65" i="1" s="1"/>
  <c r="N67" i="1" s="1"/>
  <c r="N39" i="2" s="1"/>
  <c r="M40" i="1"/>
  <c r="M41" i="1" s="1"/>
  <c r="M44" i="1" s="1"/>
  <c r="M65" i="1" s="1"/>
  <c r="L40" i="1"/>
  <c r="L41" i="1" s="1"/>
  <c r="L44" i="1" s="1"/>
  <c r="I40" i="1"/>
  <c r="I41" i="1" s="1"/>
  <c r="I44" i="1" s="1"/>
  <c r="F40" i="1"/>
  <c r="F41" i="1" s="1"/>
  <c r="F44" i="1" s="1"/>
  <c r="E53" i="1"/>
  <c r="B58" i="1"/>
  <c r="B36" i="2" s="1"/>
  <c r="N33" i="2"/>
  <c r="F16" i="1"/>
  <c r="F22" i="1" s="1"/>
  <c r="J22" i="1"/>
  <c r="J33" i="1" s="1"/>
  <c r="N16" i="1"/>
  <c r="N22" i="1" s="1"/>
  <c r="N33" i="1" s="1"/>
  <c r="D29" i="1"/>
  <c r="D32" i="1" s="1"/>
  <c r="C53" i="1"/>
  <c r="F53" i="1"/>
  <c r="H32" i="2"/>
  <c r="H71" i="1"/>
  <c r="O53" i="1"/>
  <c r="J40" i="1"/>
  <c r="J41" i="1" s="1"/>
  <c r="J44" i="1" s="1"/>
  <c r="E21" i="1"/>
  <c r="E22" i="1" s="1"/>
  <c r="E33" i="1" s="1"/>
  <c r="E48" i="1" s="1"/>
  <c r="E28" i="2" s="1"/>
  <c r="E40" i="1"/>
  <c r="E41" i="1" s="1"/>
  <c r="E44" i="1" s="1"/>
  <c r="D61" i="1"/>
  <c r="C14" i="2"/>
  <c r="I14" i="2"/>
  <c r="K16" i="1"/>
  <c r="K22" i="1" s="1"/>
  <c r="K33" i="1" s="1"/>
  <c r="O16" i="1"/>
  <c r="Q12" i="1"/>
  <c r="E29" i="1"/>
  <c r="E32" i="1" s="1"/>
  <c r="M32" i="2"/>
  <c r="M71" i="1"/>
  <c r="O40" i="1"/>
  <c r="Q37" i="1"/>
  <c r="D14" i="2"/>
  <c r="O14" i="2"/>
  <c r="K22" i="2"/>
  <c r="G32" i="2"/>
  <c r="F36" i="2"/>
  <c r="H22" i="1"/>
  <c r="C16" i="1"/>
  <c r="C22" i="1" s="1"/>
  <c r="C33" i="1" s="1"/>
  <c r="F29" i="1"/>
  <c r="F32" i="1" s="1"/>
  <c r="C15" i="3"/>
  <c r="Q39" i="1"/>
  <c r="I32" i="2"/>
  <c r="I71" i="1"/>
  <c r="B32" i="2"/>
  <c r="B71" i="1"/>
  <c r="O36" i="2"/>
  <c r="Q58" i="1"/>
  <c r="G21" i="1"/>
  <c r="G22" i="1" s="1"/>
  <c r="G33" i="1" s="1"/>
  <c r="D40" i="1"/>
  <c r="D41" i="1" s="1"/>
  <c r="D44" i="1" s="1"/>
  <c r="D53" i="1"/>
  <c r="B22" i="1"/>
  <c r="B33" i="1" s="1"/>
  <c r="E27" i="2"/>
  <c r="G36" i="2"/>
  <c r="O38" i="2"/>
  <c r="M16" i="1"/>
  <c r="M22" i="1" s="1"/>
  <c r="M33" i="1" s="1"/>
  <c r="D16" i="1"/>
  <c r="D22" i="1" s="1"/>
  <c r="D33" i="1" s="1"/>
  <c r="B29" i="1"/>
  <c r="B32" i="1" s="1"/>
  <c r="Q32" i="1" s="1"/>
  <c r="I65" i="1"/>
  <c r="I67" i="1" s="1"/>
  <c r="I39" i="2" s="1"/>
  <c r="I25" i="2"/>
  <c r="K65" i="1"/>
  <c r="K67" i="1" s="1"/>
  <c r="K39" i="2" s="1"/>
  <c r="K25" i="2"/>
  <c r="K47" i="1"/>
  <c r="K48" i="1"/>
  <c r="D25" i="2"/>
  <c r="D65" i="1"/>
  <c r="D67" i="1" s="1"/>
  <c r="D39" i="2" s="1"/>
  <c r="I22" i="1"/>
  <c r="I33" i="1" s="1"/>
  <c r="L47" i="1"/>
  <c r="L48" i="1"/>
  <c r="N48" i="1"/>
  <c r="N47" i="1"/>
  <c r="J47" i="1"/>
  <c r="L65" i="1"/>
  <c r="L25" i="2"/>
  <c r="L67" i="1"/>
  <c r="L39" i="2" s="1"/>
  <c r="M67" i="1"/>
  <c r="M39" i="2" s="1"/>
  <c r="J65" i="1"/>
  <c r="J67" i="1" s="1"/>
  <c r="J39" i="2" s="1"/>
  <c r="J25" i="2"/>
  <c r="E65" i="1"/>
  <c r="E25" i="2"/>
  <c r="H65" i="1"/>
  <c r="H67" i="1" s="1"/>
  <c r="H39" i="2" s="1"/>
  <c r="H25" i="2"/>
  <c r="F25" i="2"/>
  <c r="F65" i="1"/>
  <c r="F67" i="1" s="1"/>
  <c r="F39" i="2" s="1"/>
  <c r="F2" i="2"/>
  <c r="E58" i="1"/>
  <c r="C10" i="2"/>
  <c r="O22" i="2"/>
  <c r="J36" i="2"/>
  <c r="G2" i="2"/>
  <c r="B61" i="1"/>
  <c r="B67" i="1" s="1"/>
  <c r="B39" i="2" s="1"/>
  <c r="H2" i="2"/>
  <c r="D10" i="2"/>
  <c r="H14" i="2"/>
  <c r="K36" i="2"/>
  <c r="I2" i="2"/>
  <c r="H33" i="2"/>
  <c r="O61" i="1"/>
  <c r="G40" i="1"/>
  <c r="G41" i="1" s="1"/>
  <c r="G44" i="1" s="1"/>
  <c r="J14" i="2"/>
  <c r="D17" i="2"/>
  <c r="H29" i="1"/>
  <c r="H32" i="1" s="1"/>
  <c r="H33" i="1" s="1"/>
  <c r="M36" i="2"/>
  <c r="M21" i="1"/>
  <c r="E17" i="2"/>
  <c r="M25" i="2"/>
  <c r="F17" i="2"/>
  <c r="B25" i="2"/>
  <c r="N25" i="2"/>
  <c r="G29" i="1"/>
  <c r="G32" i="1" s="1"/>
  <c r="O41" i="1" l="1"/>
  <c r="Q40" i="1"/>
  <c r="O22" i="1"/>
  <c r="Q16" i="1"/>
  <c r="L32" i="2"/>
  <c r="L71" i="1"/>
  <c r="D32" i="2"/>
  <c r="D71" i="1"/>
  <c r="Q29" i="1"/>
  <c r="F71" i="1"/>
  <c r="F32" i="2"/>
  <c r="J32" i="2"/>
  <c r="J71" i="1"/>
  <c r="Q61" i="1"/>
  <c r="O32" i="2"/>
  <c r="O71" i="1"/>
  <c r="Q53" i="1"/>
  <c r="C32" i="2"/>
  <c r="C71" i="1"/>
  <c r="F33" i="1"/>
  <c r="F48" i="1" s="1"/>
  <c r="E32" i="2"/>
  <c r="E71" i="1"/>
  <c r="M47" i="1"/>
  <c r="M48" i="1"/>
  <c r="I47" i="1"/>
  <c r="I48" i="1" s="1"/>
  <c r="N28" i="2"/>
  <c r="N49" i="1"/>
  <c r="N29" i="2" s="1"/>
  <c r="L28" i="2"/>
  <c r="L49" i="1"/>
  <c r="L29" i="2" s="1"/>
  <c r="K49" i="1"/>
  <c r="K29" i="2" s="1"/>
  <c r="K28" i="2"/>
  <c r="K27" i="2"/>
  <c r="J27" i="2"/>
  <c r="G47" i="1"/>
  <c r="G48" i="1" s="1"/>
  <c r="E36" i="2"/>
  <c r="E61" i="1"/>
  <c r="E67" i="1" s="1"/>
  <c r="E39" i="2" s="1"/>
  <c r="L27" i="2"/>
  <c r="H47" i="1"/>
  <c r="J48" i="1"/>
  <c r="G65" i="1"/>
  <c r="G67" i="1" s="1"/>
  <c r="G39" i="2" s="1"/>
  <c r="G25" i="2"/>
  <c r="N27" i="2"/>
  <c r="F28" i="2" l="1"/>
  <c r="F49" i="1"/>
  <c r="K50" i="1"/>
  <c r="K30" i="2" s="1"/>
  <c r="O33" i="1"/>
  <c r="Q22" i="1"/>
  <c r="O44" i="1"/>
  <c r="Q41" i="1"/>
  <c r="G49" i="1"/>
  <c r="G29" i="2" s="1"/>
  <c r="G28" i="2"/>
  <c r="I49" i="1"/>
  <c r="I29" i="2" s="1"/>
  <c r="I28" i="2"/>
  <c r="G27" i="2"/>
  <c r="N50" i="1"/>
  <c r="N30" i="2" s="1"/>
  <c r="I50" i="1"/>
  <c r="I30" i="2" s="1"/>
  <c r="I27" i="2"/>
  <c r="J49" i="1"/>
  <c r="J28" i="2"/>
  <c r="M28" i="2"/>
  <c r="M49" i="1"/>
  <c r="M29" i="2" s="1"/>
  <c r="H27" i="2"/>
  <c r="H48" i="1"/>
  <c r="L50" i="1"/>
  <c r="L30" i="2" s="1"/>
  <c r="M50" i="1"/>
  <c r="M30" i="2" s="1"/>
  <c r="M27" i="2"/>
  <c r="Q33" i="1" l="1"/>
  <c r="O47" i="1"/>
  <c r="O27" i="2" s="1"/>
  <c r="G50" i="1"/>
  <c r="G30" i="2" s="1"/>
  <c r="Q44" i="1"/>
  <c r="O65" i="1"/>
  <c r="O25" i="2"/>
  <c r="F50" i="1"/>
  <c r="F30" i="2" s="1"/>
  <c r="F29" i="2"/>
  <c r="J29" i="2"/>
  <c r="J50" i="1"/>
  <c r="J30" i="2" s="1"/>
  <c r="H28" i="2"/>
  <c r="H49" i="1"/>
  <c r="O48" i="1" l="1"/>
  <c r="Q65" i="1"/>
  <c r="O67" i="1"/>
  <c r="H29" i="2"/>
  <c r="H50" i="1"/>
  <c r="H30" i="2" s="1"/>
  <c r="O39" i="2" l="1"/>
  <c r="Q67" i="1"/>
  <c r="O28" i="2"/>
  <c r="O49" i="1"/>
  <c r="O29" i="2" l="1"/>
  <c r="O50" i="1"/>
  <c r="O30" i="2" l="1"/>
  <c r="Q5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tc={1C1B6EEF-A188-0645-B225-F1240D6FBB2E}</author>
    <author>Simon Lord</author>
    <author>tc={FA908D49-1118-2E47-AC34-B47049AD6A2E}</author>
    <author>tc={6BC24C7A-3AF9-E04F-9E0E-AD465FA2CB90}</author>
    <author>tc={EA611013-DE5C-3847-990F-B9E7D98D0F01}</author>
    <author>tc={B5E3658E-70E3-E04A-A64D-ED8C0C8B1EA3}</author>
    <author>tc={082EDCF7-D6BD-9A40-9642-CB2B41D33C9D}</author>
    <author>tc={62C138AB-7A49-2D46-9047-DFF726A68F1B}</author>
    <author>tc={FD28498A-FEB1-DA4F-AD94-88EA7DC15FAB}</author>
    <author>tc={BEBD6BA1-4B93-E24C-A22F-5D5636123460}</author>
    <author>tc={BE009872-3277-D34D-8CB8-AAAEC9F74ECF}</author>
  </authors>
  <commentList>
    <comment ref="A3" authorId="0" shapeId="0" xr:uid="{00000000-0006-0000-0000-000001000000}">
      <text>
        <t>[Threaded comment]
Your version of Excel allows you to read this threaded comment; however, any edits to it will get removed if the file is opened in a newer version of Excel. Learn more: https://go.microsoft.com/fwlink/?linkid=870924
Comment:
    Les totaux se trouvent dans au état consolisé mais par secteur de reddition de compte à l’Annexe 2 du Volume 1. Attention pour années ou revenus du fonds des générations est séparé dans une autre catégorie au état consolidé</t>
      </text>
    </comment>
    <comment ref="I5" authorId="1" shapeId="0" xr:uid="{00000000-0006-0000-0000-000002000000}">
      <text>
        <r>
          <rPr>
            <b/>
            <sz val="9"/>
            <color indexed="81"/>
            <rFont val="Calibri"/>
            <family val="2"/>
          </rPr>
          <t>Simon Lord:</t>
        </r>
        <r>
          <rPr>
            <sz val="9"/>
            <color indexed="81"/>
            <rFont val="Calibri"/>
            <family val="2"/>
          </rPr>
          <t xml:space="preserve">
En 2013, les comptes disent "En lien avec la législation fiscale, les crédits d’impôt remboursables réduisent les revenus fiscaux afférents. Pour les états financiers consolidés du gouvernement, lorsque ces crédits constituent des transferts effectués par le truchement du régime fiscal, ils sont reclassés et présentés dans les dépenses, augmentant ainsi les revenus." Il n'y a pas de mention du genre pour les années précédentes, et en 2012, on peut lire, à la page qui présente les crédits d'impôt, "Les revenus provenant de l’impôt sur le revenu et les biens sont inscrits une fois déduites les sommes présentées ci-dessous." Les impôts sont donc présentés différemment avant et après 2013. Avant 2013 on a déjà les impôts nets, alors pour tenir compte de ça, j'ai supprimé la soustraction des dépenses fiscales pré-2013 de la ligne 5 "Impôts nets" et je l'ai les rajoutée plus bas dans les dépenses de soutien à aux familles pour que ça balance et que ça corrige les cassures. (Le total des revenus autonomes qu'on aura ici pour les années avant 2013 ne correspondront plus à ce qui est présenté dans les livres des comptes par contre.) J'ai fait la même chose pour les impôts des sociétés. 
</t>
        </r>
      </text>
    </comment>
    <comment ref="H6" authorId="1" shapeId="0" xr:uid="{00000000-0006-0000-0000-000003000000}">
      <text>
        <r>
          <rPr>
            <b/>
            <sz val="9"/>
            <color indexed="81"/>
            <rFont val="Calibri"/>
            <family val="2"/>
          </rPr>
          <t>Simon Lord:</t>
        </r>
        <r>
          <rPr>
            <sz val="9"/>
            <color indexed="81"/>
            <rFont val="Calibri"/>
            <family val="2"/>
          </rPr>
          <t xml:space="preserve">
Pour 2013, le crédit d'impôt pour la solidarité n'apparaît plus dans la liste des dépenses fiscales, d'où la cassure qu'il y a ici si on prend seulement le total des crédits d'impôt. Pour que la série continue de correspondre à la série pour 2013+, on devrait donc soustrair le crédit ici (et l'additionner dans l'impôt net). Pour les années précédentes, voir la not dans la cellule G12 (et aussi H12).
</t>
        </r>
      </text>
    </comment>
    <comment ref="G12" authorId="1" shapeId="0" xr:uid="{00000000-0006-0000-0000-000004000000}">
      <text>
        <r>
          <rPr>
            <b/>
            <sz val="9"/>
            <color indexed="81"/>
            <rFont val="Calibri"/>
            <family val="2"/>
          </rPr>
          <t>Simon Lord:</t>
        </r>
        <r>
          <rPr>
            <sz val="9"/>
            <color indexed="81"/>
            <rFont val="Calibri"/>
            <family val="2"/>
          </rPr>
          <t xml:space="preserve">
À compter du 1er juillet 2011, le nouveau crédit d’impôt pour la solidarité intègre le remboursement d’impôts fonciers, le crédit d’impôt pour la taxe de vente et le crédit d’impôt pour les particuliers habitant un village nordique. 
Il faut donc soustraire ces crédits ici. Voir aussi la note dans la cellule H12.
</t>
        </r>
      </text>
    </comment>
    <comment ref="H12" authorId="1" shapeId="0" xr:uid="{00000000-0006-0000-0000-000005000000}">
      <text>
        <r>
          <rPr>
            <b/>
            <sz val="9"/>
            <color rgb="FF000000"/>
            <rFont val="Calibri"/>
            <family val="2"/>
          </rPr>
          <t xml:space="preserve">Simon Lord:
</t>
        </r>
        <r>
          <rPr>
            <sz val="9"/>
            <color rgb="FF000000"/>
            <rFont val="Calibri"/>
            <family val="2"/>
          </rPr>
          <t xml:space="preserve">Le bond cette année-là s'explique par une hausse des revenus de taxes à la consommation (14 807 à 16 620), mais plus précisément des hausses de taxes des ventes de 11 577 à 13 203 qui résulte notamment de l’augmentation des revenus de taxe sur les ventes attribuable principalement aux hausses respectives d’un point de pourcentage du taux de la TVQ le 1er janvier 2011 et le
</t>
        </r>
        <r>
          <rPr>
            <sz val="9"/>
            <color rgb="FF000000"/>
            <rFont val="Calibri"/>
            <family val="2"/>
          </rPr>
          <t xml:space="preserve">1er janvier 2012;
</t>
        </r>
        <r>
          <rPr>
            <sz val="9"/>
            <color rgb="FF000000"/>
            <rFont val="Calibri"/>
            <family val="2"/>
          </rPr>
          <t xml:space="preserve">
</t>
        </r>
        <r>
          <rPr>
            <sz val="9"/>
            <color rgb="FF000000"/>
            <rFont val="Calibri"/>
            <family val="2"/>
          </rPr>
          <t xml:space="preserve">Il y a cette note en 2013:
</t>
        </r>
        <r>
          <rPr>
            <sz val="9"/>
            <color rgb="FF000000"/>
            <rFont val="Calibri"/>
            <family val="2"/>
          </rPr>
          <t xml:space="preserve">"Le crédit d’impôt pour la solidarité, d’une valeur de 1 703 millions de dollars au 31 mars 2013 (de 1 090 millions de dollars au 31 mars 2012), constitue un dégrèvement car il vise à rembourser certaines taxes aux ménages à faible revenu. Ce crédit d’impôt remboursable est présenté par conséquent en réduction des revenus des taxes à la consommation."
</t>
        </r>
        <r>
          <rPr>
            <sz val="9"/>
            <color rgb="FF000000"/>
            <rFont val="Calibri"/>
            <family val="2"/>
          </rPr>
          <t>Il faut donc ici soustraire le crédit et faire de même pour les années précédentes.</t>
        </r>
      </text>
    </comment>
    <comment ref="C14" authorId="1" shapeId="0" xr:uid="{00000000-0006-0000-0000-000006000000}">
      <text>
        <r>
          <rPr>
            <b/>
            <sz val="9"/>
            <color rgb="FF000000"/>
            <rFont val="Calibri"/>
            <family val="2"/>
          </rPr>
          <t>Simon Lord:</t>
        </r>
        <r>
          <rPr>
            <sz val="9"/>
            <color rgb="FF000000"/>
            <rFont val="Calibri"/>
            <family val="2"/>
          </rPr>
          <t xml:space="preserve">
</t>
        </r>
        <r>
          <rPr>
            <sz val="9"/>
            <color rgb="FF000000"/>
            <rFont val="Calibri"/>
            <family val="2"/>
          </rPr>
          <t xml:space="preserve">Le 500 M$ = Revenus provenant de la vente de la participation
</t>
        </r>
        <r>
          <rPr>
            <sz val="9"/>
            <color rgb="FF000000"/>
            <rFont val="Calibri"/>
            <family val="2"/>
          </rPr>
          <t xml:space="preserve">d'Hydro-Québec dans Transelec Chile
</t>
        </r>
      </text>
    </comment>
    <comment ref="I14" authorId="1" shapeId="0" xr:uid="{00000000-0006-0000-0000-000007000000}">
      <text>
        <r>
          <rPr>
            <b/>
            <sz val="9"/>
            <color indexed="81"/>
            <rFont val="Calibri"/>
            <family val="2"/>
          </rPr>
          <t>Simon Lord:</t>
        </r>
        <r>
          <rPr>
            <sz val="9"/>
            <color indexed="81"/>
            <rFont val="Calibri"/>
            <family val="2"/>
          </rPr>
          <t xml:space="preserve">
La diminution s'explique par un perte provenant des activités
abandonnées consécutive à la fermeture de la centrale nucléaire de Gentilly-2</t>
        </r>
      </text>
    </comment>
    <comment ref="H15" authorId="1" shapeId="0" xr:uid="{00000000-0006-0000-0000-000008000000}">
      <text>
        <r>
          <rPr>
            <b/>
            <sz val="9"/>
            <color indexed="81"/>
            <rFont val="Calibri"/>
            <family val="2"/>
          </rPr>
          <t>Simon Lord:</t>
        </r>
        <r>
          <rPr>
            <sz val="9"/>
            <color indexed="81"/>
            <rFont val="Calibri"/>
            <family val="2"/>
          </rPr>
          <t xml:space="preserve">
La cassure est due à une hausse de la catégorie "Ventes de biens et services" de 3525 à 5017. Je n'ai pas trouvé de ventilation de cette catégorie pour voir précisément ce qui causait cette hausse.
 </t>
        </r>
      </text>
    </comment>
    <comment ref="A17" authorId="2" shapeId="0" xr:uid="{00000000-0006-0000-0000-000009000000}">
      <text>
        <t xml:space="preserve">[Threaded comment]
Your version of Excel allows you to read this threaded comment; however, any edits to it will get removed if the file is opened in a newer version of Excel. Learn more: https://go.microsoft.com/fwlink/?linkid=870924
Comment:
    Information au poste 4 des états financiers (volume 1)
</t>
      </text>
    </comment>
    <comment ref="A23" authorId="3" shapeId="0" xr:uid="{00000000-0006-0000-0000-00000A000000}">
      <text>
        <t>[Threaded comment]
Your version of Excel allows you to read this threaded comment; however, any edits to it will get removed if the file is opened in a newer version of Excel. Learn more: https://go.microsoft.com/fwlink/?linkid=870924
Comment:
    Le détail par poste se trouve en Annexe 6 du volume 1</t>
      </text>
    </comment>
    <comment ref="H27" authorId="1" shapeId="0" xr:uid="{00000000-0006-0000-0000-00000B000000}">
      <text>
        <r>
          <rPr>
            <b/>
            <sz val="9"/>
            <color indexed="81"/>
            <rFont val="Calibri"/>
            <family val="2"/>
          </rPr>
          <t>Simon Lord:</t>
        </r>
        <r>
          <rPr>
            <sz val="9"/>
            <color indexed="81"/>
            <rFont val="Calibri"/>
            <family val="2"/>
          </rPr>
          <t xml:space="preserve">
Dans les comptes de 2013, dans le tableau à la page 31, il y a un tableau qui présente les dépenses de 2013 vs 2012. Il n’y a pas de cassure (apparente). Mais la colonne qui présente les chiffres des 2012 a une note de bas de tableau qui indique « Certains chiffres de l’année 2011-2012 ont été reclassés pour les rendre conformes à la présentation adoptée au 31 mars 2013 ». (Il y a la même note pour le tableau de 2011, de 2014, etc.) Il y a également une note là-dessus à la fin des comptes à la page 158, mais c’est la même note que la note du tableau. 
Si on regarde dans les conventions comptables de 2013 (et plus récent), dans la section sur les revenus, on voit la note suivante : « En lien avec la législation fiscale, les crédits d’impôt remboursables réduisent les revenus fiscaux afférents. Pour les états financiers consolidés du gouvernement, lorsque ces crédits constituent des transferts effectués par le truchement du régime fiscal, ils sont reclassés et présentés dans les dépenses ». Il n’y a pas de note du genre pour les comptes de 2012 (et plus vieux).
Pré-2013, il faut rajouter les crédits dans les bonnes missions. Les crédits dans la catégorie "autres" devraient en théorie êtres divisées dans leurs missions respectives, comme c'est fait en 2013+, sauf que je n'ai pas trouvé ce détail-là avant 2013. Je les ai mis dans "Soutien aux familles"</t>
        </r>
      </text>
    </comment>
    <comment ref="A34" authorId="4" shapeId="0" xr:uid="{00000000-0006-0000-0000-00000C000000}">
      <text>
        <t>[Threaded comment]
Your version of Excel allows you to read this threaded comment; however, any edits to it will get removed if the file is opened in a newer version of Excel. Learn more: https://go.microsoft.com/fwlink/?linkid=870924
Comment:
    Section 12 des États-Financiers. Ne prendre que revenus de placement de portefeuille a part et le reste dans revenu général</t>
      </text>
    </comment>
    <comment ref="C35" authorId="1" shapeId="0" xr:uid="{00000000-0006-0000-0000-00000D000000}">
      <text>
        <r>
          <rPr>
            <b/>
            <sz val="9"/>
            <color rgb="FF000000"/>
            <rFont val="Calibri"/>
            <family val="2"/>
          </rPr>
          <t>Simon Lord:</t>
        </r>
        <r>
          <rPr>
            <sz val="9"/>
            <color rgb="FF000000"/>
            <rFont val="Calibri"/>
            <family val="2"/>
          </rPr>
          <t xml:space="preserve">
</t>
        </r>
        <r>
          <rPr>
            <sz val="9"/>
            <color rgb="FF000000"/>
            <rFont val="Calibri"/>
            <family val="2"/>
          </rPr>
          <t xml:space="preserve">Fonds des générations créé le 1er janvier 2007
</t>
        </r>
      </text>
    </comment>
    <comment ref="A45" authorId="5" shapeId="0" xr:uid="{00000000-0006-0000-0000-00000E000000}">
      <text>
        <t>[Threaded comment]
Your version of Excel allows you to read this threaded comment; however, any edits to it will get removed if the file is opened in a newer version of Excel. Learn more: https://go.microsoft.com/fwlink/?linkid=870924
Comment:
    Poste 5, Loi sur l’équilibre budgétaire dans volume 1</t>
      </text>
    </comment>
    <comment ref="F48" authorId="1" shapeId="0" xr:uid="{00000000-0006-0000-0000-00000F000000}">
      <text>
        <r>
          <rPr>
            <b/>
            <sz val="9"/>
            <color rgb="FF000000"/>
            <rFont val="Calibri"/>
            <family val="2"/>
          </rPr>
          <t xml:space="preserve">Simon Lord: Le 58 M$ est dû à des modifications comptables faites en 2010.
</t>
        </r>
        <r>
          <rPr>
            <sz val="9"/>
            <color rgb="FF000000"/>
            <rFont val="Calibri"/>
            <family val="2"/>
          </rPr>
          <t xml:space="preserve">
</t>
        </r>
      </text>
    </comment>
    <comment ref="E49" authorId="1" shapeId="0" xr:uid="{00000000-0006-0000-0000-000010000000}">
      <text>
        <r>
          <rPr>
            <b/>
            <sz val="9"/>
            <color rgb="FF000000"/>
            <rFont val="Calibri"/>
            <family val="2"/>
          </rPr>
          <t>Simon Lord:</t>
        </r>
        <r>
          <rPr>
            <sz val="9"/>
            <color rgb="FF000000"/>
            <rFont val="Calibri"/>
            <family val="2"/>
          </rPr>
          <t xml:space="preserve">
</t>
        </r>
        <r>
          <rPr>
            <sz val="9"/>
            <color rgb="FF000000"/>
            <rFont val="Calibri"/>
            <family val="2"/>
          </rPr>
          <t>Versement au Fonds des générations, et Affectation du solde de l'excédent constaté de l'année financière 2006-2007.</t>
        </r>
      </text>
    </comment>
    <comment ref="B50" authorId="1" shapeId="0" xr:uid="{00000000-0006-0000-0000-000011000000}">
      <text>
        <r>
          <rPr>
            <b/>
            <sz val="9"/>
            <color rgb="FF000000"/>
            <rFont val="Calibri"/>
            <family val="2"/>
          </rPr>
          <t>Simon Lord:</t>
        </r>
        <r>
          <rPr>
            <sz val="9"/>
            <color rgb="FF000000"/>
            <rFont val="Calibri"/>
            <family val="2"/>
          </rPr>
          <t xml:space="preserve">
</t>
        </r>
        <r>
          <rPr>
            <sz val="9"/>
            <color rgb="FF000000"/>
            <rFont val="Calibri"/>
            <family val="2"/>
          </rPr>
          <t>Ce chiffre provient d'une note dans l'annexe.</t>
        </r>
      </text>
    </comment>
    <comment ref="D50" authorId="1" shapeId="0" xr:uid="{00000000-0006-0000-0000-000012000000}">
      <text>
        <r>
          <rPr>
            <b/>
            <sz val="9"/>
            <color indexed="81"/>
            <rFont val="Calibri"/>
            <family val="2"/>
          </rPr>
          <t>Simon Lord:</t>
        </r>
        <r>
          <rPr>
            <sz val="9"/>
            <color indexed="81"/>
            <rFont val="Calibri"/>
            <family val="2"/>
          </rPr>
          <t xml:space="preserve">
La réserve de stabilisation a été créée en 2009. Avant, il y avait la réserve budgétaire. Comme le suggérais PC, j'ai mis seulement le solde cette réserve.
</t>
        </r>
      </text>
    </comment>
    <comment ref="A53" authorId="6" shapeId="0" xr:uid="{00000000-0006-0000-0000-000013000000}">
      <text>
        <t xml:space="preserve">[Threaded comment]
Your version of Excel allows you to read this threaded comment; however, any edits to it will get removed if the file is opened in a newer version of Excel. Learn more: https://go.microsoft.com/fwlink/?linkid=870924
Comment:
    On l’obtient par résidu du changement de la dette </t>
      </text>
    </comment>
    <comment ref="O54" authorId="7" shapeId="0" xr:uid="{00000000-0006-0000-0000-000014000000}">
      <text>
        <t xml:space="preserve">[Threaded comment]
Your version of Excel allows you to read this threaded comment; however, any edits to it will get removed if the file is opened in a newer version of Excel. Learn more: https://go.microsoft.com/fwlink/?linkid=870924
Comment:
    Ce montant n’est pas explicite. Mais il y a un footnote 2 sur la dette en dollar canadien de rachat de dettes canadiennes qui totalisent pas exactement 8G. Donc on met le 8G d’en haut et la différence se retrouve dans l’ajustement du flux sur la dette (résidu). </t>
      </text>
    </comment>
    <comment ref="A55" authorId="8" shapeId="0" xr:uid="{00000000-0006-0000-0000-000015000000}">
      <text>
        <t>[Threaded comment]
Your version of Excel allows you to read this threaded comment; however, any edits to it will get removed if the file is opened in a newer version of Excel. Learn more: https://go.microsoft.com/fwlink/?linkid=870924
Comment:
    Section 18 des états financiers consolidés, Vol 1</t>
      </text>
    </comment>
    <comment ref="A58" authorId="9" shapeId="0" xr:uid="{00000000-0006-0000-0000-000016000000}">
      <text>
        <t xml:space="preserve">[Threaded comment]
Your version of Excel allows you to read this threaded comment; however, any edits to it will get removed if the file is opened in a newer version of Excel. Learn more: https://go.microsoft.com/fwlink/?linkid=870924
Comment:
    Cette ligne devrait matcher ce qui est au blian de la dette brutte. </t>
      </text>
    </comment>
    <comment ref="A60" authorId="10" shapeId="0" xr:uid="{00000000-0006-0000-0000-000017000000}">
      <text>
        <t xml:space="preserve">[Threaded comment]
Your version of Excel allows you to read this threaded comment; however, any edits to it will get removed if the file is opened in a newer version of Excel. Learn more: https://go.microsoft.com/fwlink/?linkid=870924
Comment:
    Section 6 du Volume 1 Analyse des principales tendances
</t>
      </text>
    </comment>
    <comment ref="B63" authorId="1" shapeId="0" xr:uid="{00000000-0006-0000-0000-000018000000}">
      <text>
        <r>
          <rPr>
            <b/>
            <sz val="9"/>
            <color indexed="81"/>
            <rFont val="Calibri"/>
            <family val="2"/>
          </rPr>
          <t>Simon Lord:</t>
        </r>
        <r>
          <rPr>
            <sz val="9"/>
            <color indexed="81"/>
            <rFont val="Calibri"/>
            <family val="2"/>
          </rPr>
          <t xml:space="preserve">
Pour 2007 et 2008, il a fallu ajouter les avantages sociaux futurs à la main pour que ça concorde avec les années suivantes. Mais pour 2007, je n'ai pas trouvé ce chiffre.
</t>
        </r>
      </text>
    </comment>
    <comment ref="D66" authorId="1" shapeId="0" xr:uid="{00000000-0006-0000-0000-000019000000}">
      <text>
        <r>
          <rPr>
            <b/>
            <sz val="9"/>
            <color rgb="FF000000"/>
            <rFont val="Calibri"/>
            <family val="2"/>
          </rPr>
          <t>Simon Lord:</t>
        </r>
        <r>
          <rPr>
            <sz val="9"/>
            <color rgb="FF000000"/>
            <rFont val="Calibri"/>
            <family val="2"/>
          </rPr>
          <t xml:space="preserve">
</t>
        </r>
        <r>
          <rPr>
            <sz val="9"/>
            <color rgb="FF000000"/>
            <rFont val="Calibri"/>
            <family val="2"/>
          </rPr>
          <t>Infos sur le 25 M$ (p.34), un montant exclu de la dette pour financer les réseaux de la santé et des services sociaux et de l'éducation: "Excluant 25 millions de dollars (31 millions de dollars en 2007) pour un organisme fiduciaire et un sans but lucratif."</t>
        </r>
      </text>
    </comment>
    <comment ref="E66" authorId="1" shapeId="0" xr:uid="{00000000-0006-0000-0000-00001A000000}">
      <text>
        <r>
          <rPr>
            <b/>
            <sz val="9"/>
            <color rgb="FF000000"/>
            <rFont val="Calibri"/>
            <family val="2"/>
          </rPr>
          <t>Simon Lord:</t>
        </r>
        <r>
          <rPr>
            <sz val="9"/>
            <color rgb="FF000000"/>
            <rFont val="Calibri"/>
            <family val="2"/>
          </rPr>
          <t xml:space="preserve">
</t>
        </r>
        <r>
          <rPr>
            <sz val="9"/>
            <color rgb="FF000000"/>
            <rFont val="Calibri"/>
            <family val="2"/>
          </rPr>
          <t>J'ai revérifié, et je n'ai pas trouvé les emprunts par anticipation.</t>
        </r>
      </text>
    </comment>
    <comment ref="B67" authorId="1" shapeId="0" xr:uid="{00000000-0006-0000-0000-00001B000000}">
      <text>
        <r>
          <rPr>
            <b/>
            <sz val="9"/>
            <color rgb="FF000000"/>
            <rFont val="Calibri"/>
            <family val="2"/>
          </rPr>
          <t>Simon Lord:</t>
        </r>
        <r>
          <rPr>
            <sz val="9"/>
            <color rgb="FF000000"/>
            <rFont val="Calibri"/>
            <family val="2"/>
          </rPr>
          <t xml:space="preserve">
</t>
        </r>
        <r>
          <rPr>
            <sz val="9"/>
            <color rgb="FF000000"/>
            <rFont val="Calibri"/>
            <family val="2"/>
          </rPr>
          <t>Je n'ai pas trouvé la dette bute présentée explicitement dans les comptes. Le calcule me semble juste, mais ce serait bien de revérifier.</t>
        </r>
      </text>
    </comment>
    <comment ref="C67" authorId="1" shapeId="0" xr:uid="{00000000-0006-0000-0000-00001C000000}">
      <text>
        <r>
          <rPr>
            <b/>
            <sz val="9"/>
            <color indexed="81"/>
            <rFont val="Calibri"/>
            <family val="2"/>
          </rPr>
          <t>Simon Lord:</t>
        </r>
        <r>
          <rPr>
            <sz val="9"/>
            <color indexed="81"/>
            <rFont val="Calibri"/>
            <family val="2"/>
          </rPr>
          <t xml:space="preserve">
31 M$= "Excluant 31 millions de dollars pour un organisme fiduciaire et un sans but lucratif."
</t>
        </r>
      </text>
    </comment>
    <comment ref="E67" authorId="1" shapeId="0" xr:uid="{00000000-0006-0000-0000-00001D000000}">
      <text>
        <r>
          <rPr>
            <b/>
            <sz val="9"/>
            <color rgb="FF000000"/>
            <rFont val="Calibri"/>
            <family val="2"/>
          </rPr>
          <t>Simon Lord:</t>
        </r>
        <r>
          <rPr>
            <sz val="9"/>
            <color rgb="FF000000"/>
            <rFont val="Calibri"/>
            <family val="2"/>
          </rPr>
          <t xml:space="preserve">
</t>
        </r>
        <r>
          <rPr>
            <sz val="9"/>
            <color rgb="FF000000"/>
            <rFont val="Calibri"/>
            <family val="2"/>
          </rPr>
          <t>Pour 2009, il n’y a pas de tableau pour la dette brute comme pour les années suivantes. Il faut donc fouiller un peu pour trouver les chiffres. Le montant pour les régimes de retraite est là et on a aussi le solde du Fonds des générations, qu’il faut soustraire. Par contre, le texte explique : « La dette brute est constituée des dettes avant les gains (pertes) de change reportés et du passif au titre des régimes de retraite et des autres avantages sociaux futurs, desquels est soustrait le solde du Fonds des générations. Les avances du Fonds de financement aux entreprises du gouvernement et aux entités hors périmètre comptable sont exclues de ce calcul. » On arrive assez proche, mais on n'a pas exactement le même chiffre : on arrive à 159,98 G$, alors que le texte dit « Le niveau de la dette s’établissait à […] 159,5 milliards de dollars au 31 mars 2009.].</t>
        </r>
      </text>
    </comment>
  </commentList>
</comments>
</file>

<file path=xl/sharedStrings.xml><?xml version="1.0" encoding="utf-8"?>
<sst xmlns="http://schemas.openxmlformats.org/spreadsheetml/2006/main" count="116" uniqueCount="111">
  <si>
    <t>Revenus</t>
  </si>
  <si>
    <t>Impôt particulier</t>
  </si>
  <si>
    <t>Dépenses fiscales</t>
  </si>
  <si>
    <t xml:space="preserve">Impôt net </t>
  </si>
  <si>
    <t>Impôt société</t>
  </si>
  <si>
    <t>Taxes à la consommation</t>
  </si>
  <si>
    <t>Droits et permis</t>
  </si>
  <si>
    <t>Revenus provenant entreprises gouvernement</t>
  </si>
  <si>
    <t>Total revenus autonomes</t>
  </si>
  <si>
    <t>Transfert fédéraux</t>
  </si>
  <si>
    <t>Revenus autonomes</t>
  </si>
  <si>
    <t>Péréquation</t>
  </si>
  <si>
    <t>Transfert santé</t>
  </si>
  <si>
    <t>Autres</t>
  </si>
  <si>
    <t>Total transferts fédéraux</t>
  </si>
  <si>
    <t>Total des revenus</t>
  </si>
  <si>
    <t xml:space="preserve">Dépenses </t>
  </si>
  <si>
    <t>Santé services sociaux</t>
  </si>
  <si>
    <t>Éducation et culture</t>
  </si>
  <si>
    <t xml:space="preserve">Économie et environnement </t>
  </si>
  <si>
    <t>Soutien familles</t>
  </si>
  <si>
    <t>Gouverne et justice</t>
  </si>
  <si>
    <t>Total dépenses des missions</t>
  </si>
  <si>
    <t>Service de la dette</t>
  </si>
  <si>
    <t>Total des dépenses</t>
  </si>
  <si>
    <t>Surplus Annuel</t>
  </si>
  <si>
    <t>Cotisation FSS</t>
  </si>
  <si>
    <t>Impôt foncier scolaire</t>
  </si>
  <si>
    <t>Revenus divers</t>
  </si>
  <si>
    <t>Fonds des génération</t>
  </si>
  <si>
    <t>Solde au début</t>
  </si>
  <si>
    <t>Revenus général</t>
  </si>
  <si>
    <t>Revenus placement</t>
  </si>
  <si>
    <t>Taux de rendement Fonds</t>
  </si>
  <si>
    <t>Solde avant reboursement</t>
  </si>
  <si>
    <t>Solde à la fin</t>
  </si>
  <si>
    <t>Réserve en début</t>
  </si>
  <si>
    <t>Utilisation de la réserve</t>
  </si>
  <si>
    <t>Réserve en fin de période</t>
  </si>
  <si>
    <t>Solde budgétaire</t>
  </si>
  <si>
    <t>Réserve stabilisation</t>
  </si>
  <si>
    <t>Dette brutte</t>
  </si>
  <si>
    <t xml:space="preserve">plus </t>
  </si>
  <si>
    <t>Régime de retraite</t>
  </si>
  <si>
    <t>moins</t>
  </si>
  <si>
    <t>Fonds génération</t>
  </si>
  <si>
    <t>Autres (entreprises gouv, emprunts anticipation)</t>
  </si>
  <si>
    <t>Dette brutte en fin de période</t>
  </si>
  <si>
    <t>Somme utilisé reboursement dette</t>
  </si>
  <si>
    <t>En millions</t>
  </si>
  <si>
    <t>Ajout à la réserve</t>
  </si>
  <si>
    <t>Remboursement dette (Affectation provenant du Fonds des génération)</t>
  </si>
  <si>
    <t>Dette</t>
  </si>
  <si>
    <t>Dette après incidence instruments</t>
  </si>
  <si>
    <t xml:space="preserve"> moins Fonds amortissement</t>
  </si>
  <si>
    <t>plus Dette PPP</t>
  </si>
  <si>
    <t xml:space="preserve">Total dette </t>
  </si>
  <si>
    <t>Dette année précédente</t>
  </si>
  <si>
    <t>flux sur dette</t>
  </si>
  <si>
    <t>Dette avant gain de change reportés</t>
  </si>
  <si>
    <t>Versements (surplus cumulé de la CNT, du FIT, etc.)</t>
  </si>
  <si>
    <t>Taux effectifs sur dette</t>
  </si>
  <si>
    <t>account</t>
  </si>
  <si>
    <t>fss</t>
  </si>
  <si>
    <t>property_taxes</t>
  </si>
  <si>
    <t>consumption</t>
  </si>
  <si>
    <t>permits</t>
  </si>
  <si>
    <t>gov_enterprises</t>
  </si>
  <si>
    <t>equalization</t>
  </si>
  <si>
    <t>health_transfer</t>
  </si>
  <si>
    <t>other_transfers</t>
  </si>
  <si>
    <t>health</t>
  </si>
  <si>
    <t>education</t>
  </si>
  <si>
    <t>economy</t>
  </si>
  <si>
    <t>family</t>
  </si>
  <si>
    <t>justice</t>
  </si>
  <si>
    <t>debt_service</t>
  </si>
  <si>
    <t>budget_balance</t>
  </si>
  <si>
    <t>debt_ppp</t>
  </si>
  <si>
    <t>gross_debt_reduct</t>
  </si>
  <si>
    <t>gross_debt</t>
  </si>
  <si>
    <t>year</t>
  </si>
  <si>
    <t>debt_interest</t>
  </si>
  <si>
    <t>genfund_return</t>
  </si>
  <si>
    <t>TCAC</t>
  </si>
  <si>
    <t>contrib</t>
  </si>
  <si>
    <t>other_taxes</t>
  </si>
  <si>
    <t>personal_taxes</t>
  </si>
  <si>
    <t>personal_credits</t>
  </si>
  <si>
    <t>corporate_taxes</t>
  </si>
  <si>
    <t>corporate_credits</t>
  </si>
  <si>
    <t>gfund_balance_start</t>
  </si>
  <si>
    <t>gfund_revenue</t>
  </si>
  <si>
    <t>gfund_returns</t>
  </si>
  <si>
    <t>gfund_debt_repay</t>
  </si>
  <si>
    <t>gfund_balance_end</t>
  </si>
  <si>
    <t>reserve_withdraw</t>
  </si>
  <si>
    <t>reserve_contrib</t>
  </si>
  <si>
    <t>reserve_balance_end</t>
  </si>
  <si>
    <t>debt_balance_start</t>
  </si>
  <si>
    <t>debt_borrow</t>
  </si>
  <si>
    <t>debt_repay</t>
  </si>
  <si>
    <t>debt_depr_fund</t>
  </si>
  <si>
    <t>debt_balance_end</t>
  </si>
  <si>
    <t>debt_pension</t>
  </si>
  <si>
    <t>reserve_balance_start</t>
  </si>
  <si>
    <t>gdp</t>
  </si>
  <si>
    <t>gdp_growth</t>
  </si>
  <si>
    <t>pib</t>
  </si>
  <si>
    <t>TCAC 2014-2019</t>
  </si>
  <si>
    <t>TCAC 2010-2019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</si>
</sst>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1" x14ac:knownFonts="1">
    <font>
      <sz val="12"/>
      <color theme="1"/>
      <name val="Calibri"/>
      <family val="2"/>
      <scheme val="minor"/>
    </font>
    <font>
      <b/>
      <sz val="12"/>
      <color theme="1"/>
      <name val="Calibri"/>
      <family val="2"/>
      <scheme val="minor"/>
    </font>
    <font>
      <i/>
      <sz val="12"/>
      <color theme="1"/>
      <name val="Calibri"/>
      <family val="2"/>
      <scheme val="minor"/>
    </font>
    <font>
      <u/>
      <sz val="12"/>
      <color theme="1"/>
      <name val="Calibri"/>
      <family val="2"/>
      <scheme val="minor"/>
    </font>
    <font>
      <b/>
      <u/>
      <sz val="12"/>
      <color theme="1"/>
      <name val="Calibri"/>
      <family val="2"/>
      <scheme val="minor"/>
    </font>
    <font>
      <b/>
      <i/>
      <sz val="12"/>
      <color theme="1"/>
      <name val="Calibri"/>
      <family val="2"/>
      <scheme val="minor"/>
    </font>
    <font>
      <sz val="12"/>
      <name val="Calibri"/>
      <family val="2"/>
      <scheme val="minor"/>
    </font>
    <font>
      <sz val="9"/>
      <color indexed="81"/>
      <name val="Calibri"/>
      <family val="2"/>
    </font>
    <font>
      <b/>
      <sz val="9"/>
      <color indexed="81"/>
      <name val="Calibri"/>
      <family val="2"/>
    </font>
    <font>
      <b/>
      <sz val="9"/>
      <color rgb="FF000000"/>
      <name val="Calibri"/>
      <family val="2"/>
    </font>
    <font>
      <sz val="9"/>
      <color rgb="FF000000"/>
      <name val="Calibri"/>
      <family val="2"/>
    </font>
  </fonts>
  <fills count="7">
    <fill>
      <patternFill patternType="none"/>
    </fill>
    <fill>
      <patternFill patternType="gray125"/>
    </fill>
    <fill>
      <patternFill patternType="solid">
        <fgColor rgb="FFFFFF00"/>
        <bgColor indexed="64"/>
      </patternFill>
    </fill>
    <fill>
      <patternFill patternType="solid">
        <fgColor theme="0"/>
        <bgColor indexed="64"/>
      </patternFill>
    </fill>
    <fill>
      <patternFill patternType="solid">
        <fgColor theme="5" tint="0.39997558519241921"/>
        <bgColor indexed="64"/>
      </patternFill>
    </fill>
    <fill>
      <patternFill patternType="solid">
        <fgColor theme="9" tint="0.39997558519241921"/>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23">
    <xf numFmtId="0" fontId="0" fillId="0" borderId="0" xfId="0"/>
    <xf numFmtId="0" fontId="0" fillId="0" borderId="0" xfId="0" applyAlignment="1">
      <alignment wrapText="1"/>
    </xf>
    <xf numFmtId="0" fontId="0" fillId="0" borderId="0" xfId="0" applyAlignment="1">
      <alignment horizontal="right" wrapText="1"/>
    </xf>
    <xf numFmtId="0" fontId="0" fillId="0" borderId="0" xfId="0" applyAlignment="1">
      <alignment horizontal="left" wrapText="1"/>
    </xf>
    <xf numFmtId="0" fontId="1" fillId="0" borderId="0" xfId="0" applyFont="1" applyAlignment="1">
      <alignment wrapText="1"/>
    </xf>
    <xf numFmtId="0" fontId="2" fillId="0" borderId="0" xfId="0" applyFont="1" applyAlignment="1">
      <alignment horizontal="left" wrapText="1"/>
    </xf>
    <xf numFmtId="0" fontId="2" fillId="0" borderId="0" xfId="0" applyFont="1" applyAlignment="1">
      <alignment wrapText="1"/>
    </xf>
    <xf numFmtId="0" fontId="3" fillId="0" borderId="0" xfId="0" applyFont="1" applyAlignment="1">
      <alignment wrapText="1"/>
    </xf>
    <xf numFmtId="0" fontId="4" fillId="0" borderId="0" xfId="0" applyFont="1" applyAlignment="1">
      <alignment wrapText="1"/>
    </xf>
    <xf numFmtId="0" fontId="0" fillId="0" borderId="0" xfId="0" applyFont="1" applyAlignment="1">
      <alignment wrapText="1"/>
    </xf>
    <xf numFmtId="0" fontId="0" fillId="0" borderId="0" xfId="0" applyFont="1" applyAlignment="1">
      <alignment horizontal="right" wrapText="1"/>
    </xf>
    <xf numFmtId="0" fontId="0" fillId="2" borderId="0" xfId="0" applyFill="1"/>
    <xf numFmtId="3" fontId="0" fillId="2" borderId="0" xfId="0" applyNumberFormat="1" applyFill="1"/>
    <xf numFmtId="0" fontId="5" fillId="0" borderId="0" xfId="0" applyFont="1" applyAlignment="1">
      <alignment wrapText="1"/>
    </xf>
    <xf numFmtId="0" fontId="0" fillId="0" borderId="0" xfId="0" applyFill="1"/>
    <xf numFmtId="0" fontId="0" fillId="3" borderId="0" xfId="0" applyFill="1"/>
    <xf numFmtId="0" fontId="6" fillId="0" borderId="0" xfId="0" applyFont="1" applyFill="1"/>
    <xf numFmtId="0" fontId="0" fillId="4" borderId="0" xfId="0" applyFill="1"/>
    <xf numFmtId="0" fontId="0" fillId="5" borderId="0" xfId="0" applyFill="1"/>
    <xf numFmtId="164" fontId="0" fillId="0" borderId="0" xfId="0" applyNumberFormat="1"/>
    <xf numFmtId="0" fontId="0" fillId="6" borderId="0" xfId="0" applyFill="1"/>
    <xf numFmtId="0" fontId="0" fillId="0" borderId="0" xfId="0" applyNumberFormat="1"/>
    <xf numFmtId="0" fontId="0" fillId="0" borderId="0" xfId="0"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pierre-carl michaud" id="{38D83175-47B7-DF45-98C8-D01D184816BD}" userId="S::pierre-carl.michaud@hec.ca::3835200c-b8ab-4765-b9b0-8f5f1c562e6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 dT="2020-04-21T13:29:34.29" personId="{38D83175-47B7-DF45-98C8-D01D184816BD}" id="{1C1B6EEF-A188-0645-B225-F1240D6FBB2E}">
    <text>Les totaux se trouvent dans au état consolisé mais par secteur de reddition de compte à l’Annexe 2 du Volume 1. Attention pour années ou revenus du fonds des générations est séparé dans une autre catégorie au état consolidé</text>
  </threadedComment>
  <threadedComment ref="A17" dT="2020-04-21T13:31:29.53" personId="{38D83175-47B7-DF45-98C8-D01D184816BD}" id="{FA908D49-1118-2E47-AC34-B47049AD6A2E}">
    <text xml:space="preserve">Information au poste 4 des états financiers (volume 1)
</text>
  </threadedComment>
  <threadedComment ref="A23" dT="2020-04-21T13:27:52.13" personId="{38D83175-47B7-DF45-98C8-D01D184816BD}" id="{6BC24C7A-3AF9-E04F-9E0E-AD465FA2CB90}">
    <text>Le détail par poste se trouve en Annexe 6 du volume 1</text>
  </threadedComment>
  <threadedComment ref="A34" dT="2020-04-21T13:42:58.21" personId="{38D83175-47B7-DF45-98C8-D01D184816BD}" id="{EA611013-DE5C-3847-990F-B9E7D98D0F01}">
    <text>Section 12 des États-Financiers. Ne prendre que revenus de placement de portefeuille a part et le reste dans revenu général</text>
  </threadedComment>
  <threadedComment ref="A45" dT="2020-04-21T13:43:51.02" personId="{38D83175-47B7-DF45-98C8-D01D184816BD}" id="{B5E3658E-70E3-E04A-A64D-ED8C0C8B1EA3}">
    <text>Poste 5, Loi sur l’équilibre budgétaire dans volume 1</text>
  </threadedComment>
  <threadedComment ref="A53" dT="2020-04-21T15:52:57.61" personId="{38D83175-47B7-DF45-98C8-D01D184816BD}" id="{082EDCF7-D6BD-9A40-9642-CB2B41D33C9D}">
    <text xml:space="preserve">On l’obtient par résidu du changement de la dette </text>
  </threadedComment>
  <threadedComment ref="O54" dT="2020-04-21T15:57:25.34" personId="{38D83175-47B7-DF45-98C8-D01D184816BD}" id="{62C138AB-7A49-2D46-9047-DFF726A68F1B}">
    <text xml:space="preserve">Ce montant n’est pas explicite. Mais il y a un footnote 2 sur la dette en dollar canadien de rachat de dettes canadiennes qui totalisent pas exactement 8G. Donc on met le 8G d’en haut et la différence se retrouve dans l’ajustement du flux sur la dette (résidu). </text>
  </threadedComment>
  <threadedComment ref="A55" dT="2020-04-21T15:51:31.84" personId="{38D83175-47B7-DF45-98C8-D01D184816BD}" id="{FD28498A-FEB1-DA4F-AD94-88EA7DC15FAB}">
    <text>Section 18 des états financiers consolidés, Vol 1</text>
  </threadedComment>
  <threadedComment ref="A58" dT="2020-04-21T15:52:08.43" personId="{38D83175-47B7-DF45-98C8-D01D184816BD}" id="{BEBD6BA1-4B93-E24C-A22F-5D5636123460}">
    <text xml:space="preserve">Cette ligne devrait matcher ce qui est au blian de la dette brutte. </text>
  </threadedComment>
  <threadedComment ref="A60" dT="2020-04-21T13:53:18.64" personId="{38D83175-47B7-DF45-98C8-D01D184816BD}" id="{BE009872-3277-D34D-8CB8-AAAEC9F74ECF}">
    <text xml:space="preserve">Section 6 du Volume 1 Analyse des principales tendances
</text>
  </threadedComment>
</ThreadedComments>
</file>

<file path=xl/worksheets/_rels/sheet1.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S72"/>
  <sheetViews>
    <sheetView tabSelected="1" zoomScale="125" zoomScaleNormal="125" zoomScalePageLayoutView="125" workbookViewId="0">
      <pane xSplit="1" ySplit="1" topLeftCell="F3" activePane="bottomRight" state="frozen"/>
      <selection pane="topRight" activeCell="B1" sqref="B1"/>
      <selection pane="bottomLeft" activeCell="A2" sqref="A2"/>
      <selection pane="bottomRight" activeCell="U14" sqref="U14"/>
    </sheetView>
  </sheetViews>
  <sheetFormatPr baseColWidth="10" defaultRowHeight="16" x14ac:dyDescent="0.2"/>
  <cols>
    <col min="1" max="1" width="23.33203125" style="1" customWidth="1"/>
    <col min="18" max="18" width="15.5" customWidth="1"/>
  </cols>
  <sheetData>
    <row r="1" spans="1:19" ht="17" x14ac:dyDescent="0.2">
      <c r="A1" s="1" t="s">
        <v>49</v>
      </c>
      <c r="B1">
        <v>2006</v>
      </c>
      <c r="C1">
        <v>2007</v>
      </c>
      <c r="D1">
        <v>2008</v>
      </c>
      <c r="E1">
        <v>2009</v>
      </c>
      <c r="F1">
        <v>2010</v>
      </c>
      <c r="G1">
        <v>2011</v>
      </c>
      <c r="H1">
        <v>2012</v>
      </c>
      <c r="I1">
        <v>2013</v>
      </c>
      <c r="J1">
        <v>2014</v>
      </c>
      <c r="K1">
        <v>2015</v>
      </c>
      <c r="L1">
        <v>2016</v>
      </c>
      <c r="M1">
        <v>2017</v>
      </c>
      <c r="N1">
        <v>2018</v>
      </c>
      <c r="O1">
        <v>2019</v>
      </c>
      <c r="Q1" t="s">
        <v>84</v>
      </c>
      <c r="R1" t="s">
        <v>109</v>
      </c>
      <c r="S1" t="s">
        <v>110</v>
      </c>
    </row>
    <row r="2" spans="1:19" ht="17" x14ac:dyDescent="0.2">
      <c r="A2" s="7" t="s">
        <v>0</v>
      </c>
    </row>
    <row r="3" spans="1:19" ht="17" x14ac:dyDescent="0.2">
      <c r="A3" s="4" t="s">
        <v>10</v>
      </c>
    </row>
    <row r="4" spans="1:19" ht="17" x14ac:dyDescent="0.2">
      <c r="A4" s="1" t="s">
        <v>1</v>
      </c>
    </row>
    <row r="5" spans="1:19" ht="17" x14ac:dyDescent="0.2">
      <c r="A5" s="2" t="s">
        <v>3</v>
      </c>
      <c r="B5">
        <f>16466+486+252</f>
        <v>17204</v>
      </c>
      <c r="C5">
        <f>18480+495+276</f>
        <v>19251</v>
      </c>
      <c r="D5">
        <f>18648+514+285</f>
        <v>19447</v>
      </c>
      <c r="E5">
        <f>17949+521+296</f>
        <v>18766</v>
      </c>
      <c r="F5">
        <f>17352+519+317</f>
        <v>18188</v>
      </c>
      <c r="G5">
        <f>18835+544+353</f>
        <v>19732</v>
      </c>
      <c r="H5" s="14">
        <f>20038+1090</f>
        <v>21128</v>
      </c>
      <c r="I5" s="14">
        <f>25070-I6</f>
        <v>21506</v>
      </c>
      <c r="J5">
        <f>26203-J6</f>
        <v>22473</v>
      </c>
      <c r="K5">
        <f>27547-K6</f>
        <v>23460</v>
      </c>
      <c r="L5">
        <f>28753-L6</f>
        <v>24726</v>
      </c>
      <c r="M5">
        <f>29231-M6</f>
        <v>25290</v>
      </c>
      <c r="N5">
        <f>29528-N6</f>
        <v>25349</v>
      </c>
      <c r="O5">
        <v>27206</v>
      </c>
      <c r="Q5">
        <f>((O5/B5)^(1/13))-1</f>
        <v>3.588228141868699E-2</v>
      </c>
    </row>
    <row r="6" spans="1:19" ht="17" x14ac:dyDescent="0.2">
      <c r="A6" s="2" t="s">
        <v>2</v>
      </c>
      <c r="B6">
        <f>3276-486-252</f>
        <v>2538</v>
      </c>
      <c r="C6">
        <f>3648-495-276</f>
        <v>2877</v>
      </c>
      <c r="D6">
        <f>3761-514-285</f>
        <v>2962</v>
      </c>
      <c r="E6">
        <f>3892-521-296</f>
        <v>3075</v>
      </c>
      <c r="F6">
        <f>4215-519-317</f>
        <v>3379</v>
      </c>
      <c r="G6">
        <f>4232-544-353</f>
        <v>3335</v>
      </c>
      <c r="H6" s="14">
        <f>4513-1090</f>
        <v>3423</v>
      </c>
      <c r="I6" s="14">
        <v>3564</v>
      </c>
      <c r="J6">
        <v>3730</v>
      </c>
      <c r="K6">
        <v>4087</v>
      </c>
      <c r="L6">
        <v>4027</v>
      </c>
      <c r="M6" s="14">
        <v>3941</v>
      </c>
      <c r="N6">
        <v>4179</v>
      </c>
      <c r="O6">
        <v>4567</v>
      </c>
      <c r="Q6">
        <f t="shared" ref="Q6:Q67" si="0">((O6/B6)^(1/13))-1</f>
        <v>4.6227442145969633E-2</v>
      </c>
    </row>
    <row r="7" spans="1:19" ht="17" x14ac:dyDescent="0.2">
      <c r="A7" s="1" t="s">
        <v>4</v>
      </c>
      <c r="H7" s="14"/>
      <c r="M7" s="14"/>
    </row>
    <row r="8" spans="1:19" ht="17" x14ac:dyDescent="0.2">
      <c r="A8" s="2" t="s">
        <v>3</v>
      </c>
      <c r="B8">
        <f>4787</f>
        <v>4787</v>
      </c>
      <c r="C8">
        <f>4779</f>
        <v>4779</v>
      </c>
      <c r="D8">
        <f>4819</f>
        <v>4819</v>
      </c>
      <c r="E8">
        <f>4176</f>
        <v>4176</v>
      </c>
      <c r="F8">
        <f>3878</f>
        <v>3878</v>
      </c>
      <c r="G8">
        <f>3926</f>
        <v>3926</v>
      </c>
      <c r="H8" s="14">
        <f>4212</f>
        <v>4212</v>
      </c>
      <c r="I8">
        <f>6034-I9</f>
        <v>4281</v>
      </c>
      <c r="J8">
        <f>5625-J9</f>
        <v>3611</v>
      </c>
      <c r="K8">
        <f>5837-K9</f>
        <v>3957</v>
      </c>
      <c r="L8">
        <f>7016-L9</f>
        <v>5040</v>
      </c>
      <c r="M8" s="14">
        <f>7480-M9</f>
        <v>5574</v>
      </c>
      <c r="N8">
        <f>8142-N9</f>
        <v>6358</v>
      </c>
      <c r="O8">
        <v>7457</v>
      </c>
      <c r="Q8">
        <f t="shared" si="0"/>
        <v>3.4684033347317733E-2</v>
      </c>
    </row>
    <row r="9" spans="1:19" ht="17" x14ac:dyDescent="0.2">
      <c r="A9" s="2" t="s">
        <v>2</v>
      </c>
      <c r="B9">
        <v>1209</v>
      </c>
      <c r="C9">
        <v>1391</v>
      </c>
      <c r="D9">
        <v>1440</v>
      </c>
      <c r="E9">
        <v>1630</v>
      </c>
      <c r="F9">
        <v>1617</v>
      </c>
      <c r="G9">
        <v>1847</v>
      </c>
      <c r="H9" s="14">
        <v>1747</v>
      </c>
      <c r="I9">
        <v>1753</v>
      </c>
      <c r="J9">
        <v>2014</v>
      </c>
      <c r="K9">
        <v>1880</v>
      </c>
      <c r="L9">
        <v>1976</v>
      </c>
      <c r="M9" s="14">
        <v>1906</v>
      </c>
      <c r="N9">
        <v>1784</v>
      </c>
      <c r="O9">
        <v>1726</v>
      </c>
      <c r="Q9">
        <f t="shared" si="0"/>
        <v>2.7764049650604417E-2</v>
      </c>
    </row>
    <row r="10" spans="1:19" ht="17" x14ac:dyDescent="0.2">
      <c r="A10" s="3" t="s">
        <v>26</v>
      </c>
      <c r="B10">
        <v>5563</v>
      </c>
      <c r="C10">
        <v>5601</v>
      </c>
      <c r="D10">
        <v>5958</v>
      </c>
      <c r="E10">
        <v>6251</v>
      </c>
      <c r="F10">
        <v>5605</v>
      </c>
      <c r="G10">
        <v>6070</v>
      </c>
      <c r="H10">
        <v>6640</v>
      </c>
      <c r="I10">
        <v>6391</v>
      </c>
      <c r="J10">
        <v>6251</v>
      </c>
      <c r="K10">
        <v>6397</v>
      </c>
      <c r="L10">
        <v>6614</v>
      </c>
      <c r="M10">
        <v>5969</v>
      </c>
      <c r="N10">
        <v>6221</v>
      </c>
      <c r="O10">
        <v>6359</v>
      </c>
      <c r="Q10">
        <f t="shared" si="0"/>
        <v>1.0340295245200304E-2</v>
      </c>
    </row>
    <row r="11" spans="1:19" ht="17" x14ac:dyDescent="0.2">
      <c r="A11" s="3" t="s">
        <v>27</v>
      </c>
      <c r="F11">
        <v>1469</v>
      </c>
      <c r="G11">
        <v>1492</v>
      </c>
      <c r="H11">
        <v>1526</v>
      </c>
      <c r="I11">
        <v>1577</v>
      </c>
      <c r="J11">
        <v>1786</v>
      </c>
      <c r="K11">
        <v>1954</v>
      </c>
      <c r="L11">
        <v>2090</v>
      </c>
      <c r="M11">
        <v>2169</v>
      </c>
      <c r="N11">
        <v>2243</v>
      </c>
      <c r="O11">
        <v>1853</v>
      </c>
      <c r="Q11" s="20">
        <f>((O11/F11)^(1/9))-1</f>
        <v>2.6138442888195224E-2</v>
      </c>
    </row>
    <row r="12" spans="1:19" ht="17" x14ac:dyDescent="0.2">
      <c r="A12" s="3" t="s">
        <v>5</v>
      </c>
      <c r="B12">
        <f>12609-486-252</f>
        <v>11871</v>
      </c>
      <c r="C12">
        <f>12851-495-276</f>
        <v>12080</v>
      </c>
      <c r="D12">
        <f>13146-514-285</f>
        <v>12347</v>
      </c>
      <c r="E12">
        <f>13595-521-296</f>
        <v>12778</v>
      </c>
      <c r="F12">
        <f>13466-519-317</f>
        <v>12630</v>
      </c>
      <c r="G12">
        <f>14807-544-353</f>
        <v>13910</v>
      </c>
      <c r="H12">
        <f>16620-1090</f>
        <v>15530</v>
      </c>
      <c r="I12">
        <v>16079</v>
      </c>
      <c r="J12">
        <v>17135</v>
      </c>
      <c r="K12">
        <f>17557+100</f>
        <v>17657</v>
      </c>
      <c r="L12">
        <v>18517</v>
      </c>
      <c r="M12">
        <v>19269</v>
      </c>
      <c r="N12">
        <v>20329</v>
      </c>
      <c r="O12">
        <f>21001</f>
        <v>21001</v>
      </c>
      <c r="Q12">
        <f t="shared" si="0"/>
        <v>4.4859504705654363E-2</v>
      </c>
    </row>
    <row r="13" spans="1:19" ht="17" x14ac:dyDescent="0.2">
      <c r="A13" s="3" t="s">
        <v>6</v>
      </c>
      <c r="B13">
        <v>1506</v>
      </c>
      <c r="C13">
        <v>1641</v>
      </c>
      <c r="D13">
        <v>1652</v>
      </c>
      <c r="E13">
        <v>1714</v>
      </c>
      <c r="F13">
        <v>1878</v>
      </c>
      <c r="G13">
        <v>2051</v>
      </c>
      <c r="H13">
        <v>2147</v>
      </c>
      <c r="I13">
        <v>2084</v>
      </c>
      <c r="J13">
        <v>2198</v>
      </c>
      <c r="K13">
        <v>2521</v>
      </c>
      <c r="L13">
        <v>3828</v>
      </c>
      <c r="M13">
        <v>3297</v>
      </c>
      <c r="N13">
        <v>3965</v>
      </c>
      <c r="O13">
        <v>4361</v>
      </c>
      <c r="Q13">
        <f t="shared" si="0"/>
        <v>8.5225739249854549E-2</v>
      </c>
    </row>
    <row r="14" spans="1:19" ht="34" x14ac:dyDescent="0.2">
      <c r="A14" s="3" t="s">
        <v>7</v>
      </c>
      <c r="B14">
        <v>4554</v>
      </c>
      <c r="C14">
        <f>5728+500+76</f>
        <v>6304</v>
      </c>
      <c r="D14">
        <f>5025+413</f>
        <v>5438</v>
      </c>
      <c r="E14">
        <f>5013+636</f>
        <v>5649</v>
      </c>
      <c r="F14">
        <f>4878+658</f>
        <v>5536</v>
      </c>
      <c r="G14">
        <f>4838+650</f>
        <v>5488</v>
      </c>
      <c r="H14">
        <f>4749+682</f>
        <v>5431</v>
      </c>
      <c r="I14">
        <f>3232+717</f>
        <v>3949</v>
      </c>
      <c r="J14">
        <f>5430+763</f>
        <v>6193</v>
      </c>
      <c r="K14">
        <f>5336+761+71</f>
        <v>6168</v>
      </c>
      <c r="L14">
        <v>5013</v>
      </c>
      <c r="M14">
        <v>4899</v>
      </c>
      <c r="N14">
        <v>5093</v>
      </c>
      <c r="O14">
        <v>5548</v>
      </c>
      <c r="Q14">
        <f t="shared" si="0"/>
        <v>1.5302950277515492E-2</v>
      </c>
    </row>
    <row r="15" spans="1:19" ht="17" x14ac:dyDescent="0.2">
      <c r="A15" s="3" t="s">
        <v>28</v>
      </c>
      <c r="B15">
        <v>3427</v>
      </c>
      <c r="C15">
        <f>3562+5+2+1</f>
        <v>3570</v>
      </c>
      <c r="D15">
        <f>4314+36</f>
        <v>4350</v>
      </c>
      <c r="E15">
        <f>4175+1-50</f>
        <v>4126</v>
      </c>
      <c r="F15">
        <f>7265+7+60</f>
        <v>7332</v>
      </c>
      <c r="G15">
        <f>7428+16+94</f>
        <v>7538</v>
      </c>
      <c r="H15" s="14">
        <f>7558+9+149</f>
        <v>7716</v>
      </c>
      <c r="I15" s="14">
        <f>9052+12+232</f>
        <v>9296</v>
      </c>
      <c r="J15">
        <f>8932+19+339</f>
        <v>9290</v>
      </c>
      <c r="K15">
        <f>8970+32+315</f>
        <v>9317</v>
      </c>
      <c r="L15">
        <v>9391</v>
      </c>
      <c r="M15">
        <v>10391</v>
      </c>
      <c r="N15">
        <v>10398</v>
      </c>
      <c r="O15">
        <v>11548</v>
      </c>
      <c r="Q15">
        <f t="shared" si="0"/>
        <v>9.7953763245276049E-2</v>
      </c>
    </row>
    <row r="16" spans="1:19" ht="17" x14ac:dyDescent="0.2">
      <c r="A16" s="5" t="s">
        <v>8</v>
      </c>
      <c r="B16" s="11">
        <f t="shared" ref="B16:O16" si="1">SUM(B5:B15)</f>
        <v>52659</v>
      </c>
      <c r="C16" s="11">
        <f t="shared" si="1"/>
        <v>57494</v>
      </c>
      <c r="D16" s="11">
        <f t="shared" si="1"/>
        <v>58413</v>
      </c>
      <c r="E16" s="11">
        <f t="shared" si="1"/>
        <v>58165</v>
      </c>
      <c r="F16" s="11">
        <f t="shared" si="1"/>
        <v>61512</v>
      </c>
      <c r="G16" s="11">
        <f t="shared" si="1"/>
        <v>65389</v>
      </c>
      <c r="H16" s="11">
        <f t="shared" si="1"/>
        <v>69500</v>
      </c>
      <c r="I16" s="11">
        <f t="shared" si="1"/>
        <v>70480</v>
      </c>
      <c r="J16" s="11">
        <f t="shared" si="1"/>
        <v>74681</v>
      </c>
      <c r="K16" s="11">
        <f t="shared" si="1"/>
        <v>77398</v>
      </c>
      <c r="L16" s="11">
        <f t="shared" si="1"/>
        <v>81222</v>
      </c>
      <c r="M16" s="11">
        <f t="shared" si="1"/>
        <v>82705</v>
      </c>
      <c r="N16" s="11">
        <f t="shared" si="1"/>
        <v>85919</v>
      </c>
      <c r="O16" s="11">
        <f t="shared" si="1"/>
        <v>91626</v>
      </c>
      <c r="Q16">
        <f t="shared" si="0"/>
        <v>4.3526657117914924E-2</v>
      </c>
    </row>
    <row r="17" spans="1:19" ht="17" x14ac:dyDescent="0.2">
      <c r="A17" s="4" t="s">
        <v>9</v>
      </c>
    </row>
    <row r="18" spans="1:19" ht="17" x14ac:dyDescent="0.2">
      <c r="A18" s="2" t="s">
        <v>11</v>
      </c>
      <c r="B18">
        <v>4798</v>
      </c>
      <c r="C18">
        <v>5539</v>
      </c>
      <c r="D18">
        <v>7160</v>
      </c>
      <c r="E18">
        <v>8028</v>
      </c>
      <c r="F18">
        <v>8355</v>
      </c>
      <c r="G18">
        <v>8552</v>
      </c>
      <c r="H18">
        <v>7815</v>
      </c>
      <c r="I18">
        <v>7391</v>
      </c>
      <c r="J18">
        <v>7833</v>
      </c>
      <c r="K18">
        <v>9286</v>
      </c>
      <c r="L18">
        <v>9521</v>
      </c>
      <c r="M18">
        <v>10030</v>
      </c>
      <c r="N18">
        <v>11081</v>
      </c>
      <c r="O18">
        <v>11732</v>
      </c>
      <c r="Q18">
        <f t="shared" si="0"/>
        <v>7.1198952413465522E-2</v>
      </c>
    </row>
    <row r="19" spans="1:19" ht="17" x14ac:dyDescent="0.2">
      <c r="A19" s="2" t="s">
        <v>12</v>
      </c>
      <c r="B19">
        <v>3185</v>
      </c>
      <c r="C19">
        <v>3649</v>
      </c>
      <c r="D19">
        <v>3925</v>
      </c>
      <c r="E19">
        <v>3740</v>
      </c>
      <c r="F19">
        <v>4148</v>
      </c>
      <c r="G19">
        <v>4309</v>
      </c>
      <c r="H19">
        <v>4511</v>
      </c>
      <c r="I19">
        <v>4792</v>
      </c>
      <c r="J19">
        <v>5290</v>
      </c>
      <c r="K19">
        <v>5282</v>
      </c>
      <c r="L19">
        <v>5487</v>
      </c>
      <c r="M19">
        <v>5946</v>
      </c>
      <c r="N19">
        <v>6096</v>
      </c>
      <c r="O19">
        <v>6306</v>
      </c>
      <c r="Q19">
        <f t="shared" si="0"/>
        <v>5.3947092194047475E-2</v>
      </c>
    </row>
    <row r="20" spans="1:19" ht="17" x14ac:dyDescent="0.2">
      <c r="A20" s="2" t="s">
        <v>13</v>
      </c>
      <c r="B20">
        <f>1034+2105</f>
        <v>3139</v>
      </c>
      <c r="C20">
        <f>1070+1712</f>
        <v>2782</v>
      </c>
      <c r="D20">
        <f>1516+2132</f>
        <v>3648</v>
      </c>
      <c r="E20">
        <f>1267+2046</f>
        <v>3313</v>
      </c>
      <c r="F20">
        <f>1461+3146</f>
        <v>4607</v>
      </c>
      <c r="G20">
        <f>1455+3177</f>
        <v>4632</v>
      </c>
      <c r="H20">
        <f>369+1488+2755</f>
        <v>4612</v>
      </c>
      <c r="I20">
        <f>362+1486+733+2753</f>
        <v>5334</v>
      </c>
      <c r="J20">
        <f>1534+1467+2426</f>
        <v>5427</v>
      </c>
      <c r="K20">
        <f>1588+2383</f>
        <v>3971</v>
      </c>
      <c r="L20">
        <f>1542+2351</f>
        <v>3893</v>
      </c>
      <c r="M20">
        <f>1635+2568</f>
        <v>4203</v>
      </c>
      <c r="N20">
        <f>1648+3660</f>
        <v>5308</v>
      </c>
      <c r="O20">
        <f>23120-O18-O19</f>
        <v>5082</v>
      </c>
      <c r="Q20">
        <f t="shared" si="0"/>
        <v>3.7756929293422115E-2</v>
      </c>
    </row>
    <row r="21" spans="1:19" ht="17" x14ac:dyDescent="0.2">
      <c r="A21" s="6" t="s">
        <v>14</v>
      </c>
      <c r="B21" s="11">
        <f>SUM(B18:B20)</f>
        <v>11122</v>
      </c>
      <c r="C21" s="11">
        <f t="shared" ref="C21:O21" si="2">SUM(C18:C20)</f>
        <v>11970</v>
      </c>
      <c r="D21" s="11">
        <f t="shared" si="2"/>
        <v>14733</v>
      </c>
      <c r="E21" s="11">
        <f t="shared" si="2"/>
        <v>15081</v>
      </c>
      <c r="F21" s="11">
        <f t="shared" si="2"/>
        <v>17110</v>
      </c>
      <c r="G21" s="11">
        <f t="shared" si="2"/>
        <v>17493</v>
      </c>
      <c r="H21" s="11">
        <f t="shared" si="2"/>
        <v>16938</v>
      </c>
      <c r="I21" s="11">
        <f t="shared" si="2"/>
        <v>17517</v>
      </c>
      <c r="J21" s="11">
        <f t="shared" si="2"/>
        <v>18550</v>
      </c>
      <c r="K21" s="11">
        <f t="shared" si="2"/>
        <v>18539</v>
      </c>
      <c r="L21" s="11">
        <f t="shared" si="2"/>
        <v>18901</v>
      </c>
      <c r="M21" s="11">
        <f t="shared" si="2"/>
        <v>20179</v>
      </c>
      <c r="N21" s="11">
        <f t="shared" si="2"/>
        <v>22485</v>
      </c>
      <c r="O21" s="11">
        <f t="shared" si="2"/>
        <v>23120</v>
      </c>
      <c r="Q21">
        <f t="shared" si="0"/>
        <v>5.790466875908562E-2</v>
      </c>
    </row>
    <row r="22" spans="1:19" ht="17" x14ac:dyDescent="0.2">
      <c r="A22" s="8" t="s">
        <v>15</v>
      </c>
      <c r="B22" s="11">
        <f>B16+B21</f>
        <v>63781</v>
      </c>
      <c r="C22" s="11">
        <f t="shared" ref="C22:O22" si="3">C16+C21</f>
        <v>69464</v>
      </c>
      <c r="D22" s="11">
        <f t="shared" si="3"/>
        <v>73146</v>
      </c>
      <c r="E22" s="11">
        <f t="shared" si="3"/>
        <v>73246</v>
      </c>
      <c r="F22" s="11">
        <f t="shared" si="3"/>
        <v>78622</v>
      </c>
      <c r="G22" s="11">
        <f t="shared" si="3"/>
        <v>82882</v>
      </c>
      <c r="H22" s="11">
        <f>H16+H21</f>
        <v>86438</v>
      </c>
      <c r="I22" s="11">
        <f t="shared" si="3"/>
        <v>87997</v>
      </c>
      <c r="J22" s="11">
        <f t="shared" si="3"/>
        <v>93231</v>
      </c>
      <c r="K22" s="11">
        <f t="shared" si="3"/>
        <v>95937</v>
      </c>
      <c r="L22" s="11">
        <f t="shared" si="3"/>
        <v>100123</v>
      </c>
      <c r="M22" s="11">
        <f t="shared" si="3"/>
        <v>102884</v>
      </c>
      <c r="N22" s="11">
        <f t="shared" si="3"/>
        <v>108404</v>
      </c>
      <c r="O22" s="11">
        <f t="shared" si="3"/>
        <v>114746</v>
      </c>
      <c r="Q22">
        <f t="shared" si="0"/>
        <v>4.6210178302625859E-2</v>
      </c>
    </row>
    <row r="23" spans="1:19" ht="17" x14ac:dyDescent="0.2">
      <c r="A23" s="7" t="s">
        <v>16</v>
      </c>
    </row>
    <row r="24" spans="1:19" ht="17" x14ac:dyDescent="0.2">
      <c r="A24" s="4" t="s">
        <v>17</v>
      </c>
      <c r="B24" s="14">
        <f>21984+97</f>
        <v>22081</v>
      </c>
      <c r="C24" s="14">
        <f>23782+127</f>
        <v>23909</v>
      </c>
      <c r="D24" s="14">
        <f>25416+148+42</f>
        <v>25606</v>
      </c>
      <c r="E24" s="14">
        <f>26718+214+43</f>
        <v>26975</v>
      </c>
      <c r="F24" s="14">
        <f>29666+232+45+43</f>
        <v>29986</v>
      </c>
      <c r="G24" s="14">
        <f>30801+262+50+48</f>
        <v>31161</v>
      </c>
      <c r="H24" s="14">
        <f>32078+290+50+48</f>
        <v>32466</v>
      </c>
      <c r="I24" s="14">
        <v>34174</v>
      </c>
      <c r="J24" s="14">
        <v>35602</v>
      </c>
      <c r="K24" s="14">
        <v>36793</v>
      </c>
      <c r="L24" s="14">
        <v>37501</v>
      </c>
      <c r="M24" s="14">
        <v>38735</v>
      </c>
      <c r="N24" s="14">
        <v>40176</v>
      </c>
      <c r="O24" s="14">
        <v>41522</v>
      </c>
      <c r="Q24">
        <f t="shared" si="0"/>
        <v>4.9776596919839156E-2</v>
      </c>
      <c r="R24">
        <f>(O24/J24)^(1/5)-1</f>
        <v>3.1242430212510719E-2</v>
      </c>
      <c r="S24">
        <f>(O24/F24)^(1/9)-1</f>
        <v>3.6827807537688217E-2</v>
      </c>
    </row>
    <row r="25" spans="1:19" ht="17" x14ac:dyDescent="0.2">
      <c r="A25" s="4" t="s">
        <v>18</v>
      </c>
      <c r="B25" s="14">
        <f>13045+94</f>
        <v>13139</v>
      </c>
      <c r="C25" s="14">
        <f>13436+90</f>
        <v>13526</v>
      </c>
      <c r="D25" s="14">
        <f>14445+45+82</f>
        <v>14572</v>
      </c>
      <c r="E25" s="14">
        <f>14686+55+68</f>
        <v>14809</v>
      </c>
      <c r="F25" s="14">
        <f>17725+57+87</f>
        <v>17869</v>
      </c>
      <c r="G25" s="14">
        <f>18390+53+135</f>
        <v>18578</v>
      </c>
      <c r="H25" s="14">
        <f>19070+48+152</f>
        <v>19270</v>
      </c>
      <c r="I25" s="14">
        <v>19528</v>
      </c>
      <c r="J25" s="14">
        <v>20620</v>
      </c>
      <c r="K25" s="14">
        <v>20905</v>
      </c>
      <c r="L25" s="14">
        <v>20997</v>
      </c>
      <c r="M25" s="14">
        <v>21646</v>
      </c>
      <c r="N25" s="14">
        <v>22780</v>
      </c>
      <c r="O25" s="14">
        <v>23887</v>
      </c>
      <c r="Q25">
        <f>((L25/B25)^(1/10))-1</f>
        <v>4.7995682744315982E-2</v>
      </c>
      <c r="R25">
        <f>(O25/J25)^(1/5)-1</f>
        <v>2.985146166039887E-2</v>
      </c>
      <c r="S25">
        <f>(O25/F25)^(1/9)-1</f>
        <v>3.2777618898309768E-2</v>
      </c>
    </row>
    <row r="26" spans="1:19" ht="34" x14ac:dyDescent="0.2">
      <c r="A26" s="4" t="s">
        <v>19</v>
      </c>
      <c r="B26" s="14">
        <f>6781+609+48+88+61+41+268</f>
        <v>7896</v>
      </c>
      <c r="C26" s="14">
        <f>7154+729+46+56+91+41+338</f>
        <v>8455</v>
      </c>
      <c r="D26" s="14">
        <f>8138+667+99+69+56+53+45+44+43+41+241</f>
        <v>9496</v>
      </c>
      <c r="E26" s="14">
        <f>8525+709+124+108+129+51+40+45+65+39+14+238</f>
        <v>10087</v>
      </c>
      <c r="F26" s="14">
        <f>8947+583+105+156+128+54+50+12+75+21+122+224</f>
        <v>10477</v>
      </c>
      <c r="G26" s="14">
        <f>9662+825+114+110+73+61+38+66+82+19+159+165</f>
        <v>11374</v>
      </c>
      <c r="H26" s="14">
        <f>10011+540+85+235+123+61+95+80+199+177</f>
        <v>11606</v>
      </c>
      <c r="I26" s="14">
        <v>11316</v>
      </c>
      <c r="J26" s="14">
        <v>11859</v>
      </c>
      <c r="K26" s="14">
        <v>11458</v>
      </c>
      <c r="L26" s="14">
        <v>11697</v>
      </c>
      <c r="M26" s="14">
        <v>12315</v>
      </c>
      <c r="N26" s="14">
        <v>14438</v>
      </c>
      <c r="O26" s="14">
        <v>14730</v>
      </c>
      <c r="P26" t="s">
        <v>108</v>
      </c>
      <c r="Q26">
        <f t="shared" si="0"/>
        <v>4.913271867281499E-2</v>
      </c>
    </row>
    <row r="27" spans="1:19" ht="17" x14ac:dyDescent="0.2">
      <c r="A27" s="4" t="s">
        <v>20</v>
      </c>
      <c r="B27" s="14">
        <f>5249+2030+177+75+77+82</f>
        <v>7690</v>
      </c>
      <c r="C27" s="14">
        <f>5280+2112+161+8+355+114</f>
        <v>8030</v>
      </c>
      <c r="D27" s="14">
        <f>5439+2132+163+351+81</f>
        <v>8166</v>
      </c>
      <c r="E27" s="14">
        <f>5538+2113+195+365+90</f>
        <v>8301</v>
      </c>
      <c r="F27" s="14">
        <f>5773+2130+271+377+171+53</f>
        <v>8775</v>
      </c>
      <c r="G27" s="14">
        <f>6010+2124+347+380+18+53</f>
        <v>8932</v>
      </c>
      <c r="H27" s="14">
        <f>6159+2144+426+365+52</f>
        <v>9146</v>
      </c>
      <c r="I27" s="14">
        <v>9269</v>
      </c>
      <c r="J27" s="14">
        <v>9543</v>
      </c>
      <c r="K27" s="14">
        <v>9647</v>
      </c>
      <c r="L27" s="14">
        <v>9589</v>
      </c>
      <c r="M27" s="14">
        <v>9562</v>
      </c>
      <c r="N27" s="14">
        <v>9816</v>
      </c>
      <c r="O27" s="14">
        <v>10095</v>
      </c>
      <c r="Q27">
        <f t="shared" si="0"/>
        <v>2.1152883330583405E-2</v>
      </c>
    </row>
    <row r="28" spans="1:19" ht="17" x14ac:dyDescent="0.2">
      <c r="A28" s="4" t="s">
        <v>21</v>
      </c>
      <c r="B28" s="11">
        <v>5379</v>
      </c>
      <c r="C28" s="11">
        <v>5657</v>
      </c>
      <c r="D28" s="11">
        <v>5592</v>
      </c>
      <c r="E28" s="11">
        <v>6201</v>
      </c>
      <c r="F28" s="11">
        <v>6611</v>
      </c>
      <c r="G28" s="11">
        <v>6292</v>
      </c>
      <c r="H28" s="11">
        <v>6287</v>
      </c>
      <c r="I28" s="11">
        <v>6386</v>
      </c>
      <c r="J28" s="11">
        <v>6712</v>
      </c>
      <c r="K28" s="11">
        <v>6728</v>
      </c>
      <c r="L28" s="11">
        <v>6686</v>
      </c>
      <c r="M28" s="11">
        <v>6737</v>
      </c>
      <c r="N28" s="11">
        <v>7039</v>
      </c>
      <c r="O28" s="11">
        <v>7510</v>
      </c>
      <c r="Q28">
        <f t="shared" si="0"/>
        <v>2.6004125692680846E-2</v>
      </c>
    </row>
    <row r="29" spans="1:19" ht="34" x14ac:dyDescent="0.2">
      <c r="A29" s="8" t="s">
        <v>22</v>
      </c>
      <c r="B29" s="11">
        <f t="shared" ref="B29:O29" si="4">B28+B27+B26+B25+B24</f>
        <v>56185</v>
      </c>
      <c r="C29" s="11">
        <f t="shared" si="4"/>
        <v>59577</v>
      </c>
      <c r="D29" s="11">
        <f t="shared" si="4"/>
        <v>63432</v>
      </c>
      <c r="E29" s="11">
        <f t="shared" si="4"/>
        <v>66373</v>
      </c>
      <c r="F29" s="11">
        <f t="shared" si="4"/>
        <v>73718</v>
      </c>
      <c r="G29" s="11">
        <f t="shared" si="4"/>
        <v>76337</v>
      </c>
      <c r="H29" s="11">
        <f t="shared" si="4"/>
        <v>78775</v>
      </c>
      <c r="I29" s="11">
        <f t="shared" si="4"/>
        <v>80673</v>
      </c>
      <c r="J29" s="11">
        <f t="shared" si="4"/>
        <v>84336</v>
      </c>
      <c r="K29" s="11">
        <f t="shared" si="4"/>
        <v>85531</v>
      </c>
      <c r="L29" s="11">
        <f t="shared" si="4"/>
        <v>86470</v>
      </c>
      <c r="M29" s="11">
        <f t="shared" si="4"/>
        <v>88995</v>
      </c>
      <c r="N29" s="11">
        <f t="shared" si="4"/>
        <v>94249</v>
      </c>
      <c r="O29" s="11">
        <f t="shared" si="4"/>
        <v>97744</v>
      </c>
      <c r="Q29">
        <f t="shared" si="0"/>
        <v>4.3512536571207461E-2</v>
      </c>
    </row>
    <row r="30" spans="1:19" ht="17" x14ac:dyDescent="0.2">
      <c r="A30" s="4" t="s">
        <v>23</v>
      </c>
      <c r="B30">
        <v>7559</v>
      </c>
      <c r="C30">
        <v>7894</v>
      </c>
      <c r="D30">
        <v>8064</v>
      </c>
      <c r="E30">
        <v>8131</v>
      </c>
      <c r="F30">
        <v>7844</v>
      </c>
      <c r="G30">
        <v>8935</v>
      </c>
      <c r="H30">
        <v>9451</v>
      </c>
      <c r="I30">
        <v>9839</v>
      </c>
      <c r="J30">
        <v>10598</v>
      </c>
      <c r="K30">
        <v>10270</v>
      </c>
      <c r="L30">
        <v>10009</v>
      </c>
      <c r="M30">
        <v>9527</v>
      </c>
      <c r="N30">
        <v>9240</v>
      </c>
      <c r="O30">
        <v>8722</v>
      </c>
      <c r="Q30">
        <f t="shared" si="0"/>
        <v>1.1069251408674763E-2</v>
      </c>
    </row>
    <row r="31" spans="1:19" ht="17" x14ac:dyDescent="0.2">
      <c r="A31" s="13" t="s">
        <v>61</v>
      </c>
      <c r="B31">
        <v>5.3600000000000002E-2</v>
      </c>
      <c r="C31">
        <v>5.4699999999999999E-2</v>
      </c>
      <c r="D31">
        <v>5.04E-2</v>
      </c>
      <c r="E31">
        <v>4.1599999999999998E-2</v>
      </c>
      <c r="F31">
        <v>3.9E-2</v>
      </c>
      <c r="G31">
        <v>4.3200000000000002E-2</v>
      </c>
      <c r="H31">
        <v>4.2200000000000001E-2</v>
      </c>
      <c r="I31">
        <v>0.04</v>
      </c>
      <c r="J31">
        <v>3.9100000000000003E-2</v>
      </c>
      <c r="K31">
        <v>3.73E-2</v>
      </c>
      <c r="L31">
        <v>3.6299999999999999E-2</v>
      </c>
      <c r="M31">
        <v>3.5299999999999998E-2</v>
      </c>
      <c r="N31">
        <v>3.5400000000000001E-2</v>
      </c>
      <c r="O31">
        <v>3.5799999999999998E-2</v>
      </c>
      <c r="Q31">
        <f t="shared" si="0"/>
        <v>-3.0569258514889674E-2</v>
      </c>
    </row>
    <row r="32" spans="1:19" ht="17" x14ac:dyDescent="0.2">
      <c r="A32" s="8" t="s">
        <v>24</v>
      </c>
      <c r="B32" s="11">
        <f>B29+B30</f>
        <v>63744</v>
      </c>
      <c r="C32" s="11">
        <f t="shared" ref="C32:O32" si="5">C29+C30</f>
        <v>67471</v>
      </c>
      <c r="D32" s="11">
        <f t="shared" si="5"/>
        <v>71496</v>
      </c>
      <c r="E32" s="11">
        <f t="shared" si="5"/>
        <v>74504</v>
      </c>
      <c r="F32" s="11">
        <f>F29+F30</f>
        <v>81562</v>
      </c>
      <c r="G32" s="11">
        <f t="shared" si="5"/>
        <v>85272</v>
      </c>
      <c r="H32" s="11">
        <f t="shared" si="5"/>
        <v>88226</v>
      </c>
      <c r="I32" s="11">
        <f t="shared" si="5"/>
        <v>90512</v>
      </c>
      <c r="J32" s="11">
        <f t="shared" si="5"/>
        <v>94934</v>
      </c>
      <c r="K32" s="11">
        <f t="shared" si="5"/>
        <v>95801</v>
      </c>
      <c r="L32" s="11">
        <f t="shared" si="5"/>
        <v>96479</v>
      </c>
      <c r="M32" s="11">
        <f t="shared" si="5"/>
        <v>98522</v>
      </c>
      <c r="N32" s="11">
        <f t="shared" si="5"/>
        <v>103489</v>
      </c>
      <c r="O32" s="11">
        <f t="shared" si="5"/>
        <v>106466</v>
      </c>
      <c r="Q32">
        <f t="shared" si="0"/>
        <v>4.0246537408681782E-2</v>
      </c>
    </row>
    <row r="33" spans="1:17" ht="17" x14ac:dyDescent="0.2">
      <c r="A33" s="8" t="s">
        <v>25</v>
      </c>
      <c r="B33">
        <f t="shared" ref="B33:O33" si="6">B22-B32</f>
        <v>37</v>
      </c>
      <c r="C33" s="11">
        <f t="shared" si="6"/>
        <v>1993</v>
      </c>
      <c r="D33" s="11">
        <f t="shared" si="6"/>
        <v>1650</v>
      </c>
      <c r="E33" s="11">
        <f t="shared" si="6"/>
        <v>-1258</v>
      </c>
      <c r="F33" s="11">
        <f t="shared" si="6"/>
        <v>-2940</v>
      </c>
      <c r="G33" s="11">
        <f t="shared" si="6"/>
        <v>-2390</v>
      </c>
      <c r="H33" s="11">
        <f t="shared" si="6"/>
        <v>-1788</v>
      </c>
      <c r="I33" s="11">
        <f t="shared" si="6"/>
        <v>-2515</v>
      </c>
      <c r="J33" s="11">
        <f t="shared" si="6"/>
        <v>-1703</v>
      </c>
      <c r="K33" s="11">
        <f t="shared" si="6"/>
        <v>136</v>
      </c>
      <c r="L33" s="11">
        <f t="shared" si="6"/>
        <v>3644</v>
      </c>
      <c r="M33" s="11">
        <f t="shared" si="6"/>
        <v>4362</v>
      </c>
      <c r="N33" s="11">
        <f t="shared" si="6"/>
        <v>4915</v>
      </c>
      <c r="O33" s="11">
        <f t="shared" si="6"/>
        <v>8280</v>
      </c>
      <c r="Q33">
        <f t="shared" si="0"/>
        <v>0.5161984458274762</v>
      </c>
    </row>
    <row r="34" spans="1:17" ht="17" x14ac:dyDescent="0.2">
      <c r="A34" s="8" t="s">
        <v>29</v>
      </c>
    </row>
    <row r="35" spans="1:17" ht="17" x14ac:dyDescent="0.2">
      <c r="A35" s="4" t="s">
        <v>30</v>
      </c>
      <c r="B35">
        <v>0</v>
      </c>
      <c r="C35">
        <v>0</v>
      </c>
      <c r="D35">
        <v>584</v>
      </c>
      <c r="E35">
        <v>1233</v>
      </c>
      <c r="F35">
        <v>1952</v>
      </c>
      <c r="G35">
        <v>2677</v>
      </c>
      <c r="H35">
        <v>3437</v>
      </c>
      <c r="I35">
        <v>4277</v>
      </c>
      <c r="J35">
        <v>5238</v>
      </c>
      <c r="K35">
        <v>5659</v>
      </c>
      <c r="L35">
        <v>6938</v>
      </c>
      <c r="M35">
        <v>8522</v>
      </c>
      <c r="N35">
        <v>10523</v>
      </c>
      <c r="O35">
        <v>12816</v>
      </c>
      <c r="Q35">
        <f>((O35/D35)^(1/11))-1</f>
        <v>0.32415848672614667</v>
      </c>
    </row>
    <row r="36" spans="1:17" ht="17" x14ac:dyDescent="0.2">
      <c r="A36" s="3" t="s">
        <v>10</v>
      </c>
    </row>
    <row r="37" spans="1:17" ht="17" x14ac:dyDescent="0.2">
      <c r="A37" s="2" t="s">
        <v>31</v>
      </c>
      <c r="C37">
        <f>584-C38</f>
        <v>581</v>
      </c>
      <c r="D37">
        <f>449-D38</f>
        <v>413</v>
      </c>
      <c r="E37">
        <f>587-E38</f>
        <v>637</v>
      </c>
      <c r="F37">
        <f>725-F38</f>
        <v>665</v>
      </c>
      <c r="G37">
        <f>760-G38</f>
        <v>666</v>
      </c>
      <c r="H37">
        <f>840-H38</f>
        <v>691</v>
      </c>
      <c r="I37">
        <f>961-I38</f>
        <v>729</v>
      </c>
      <c r="J37">
        <f>1121-J38</f>
        <v>782</v>
      </c>
      <c r="K37">
        <f>1279-K38</f>
        <v>964</v>
      </c>
      <c r="L37">
        <f>1453-L38</f>
        <v>1155</v>
      </c>
      <c r="M37">
        <f>2001-M38</f>
        <v>1579</v>
      </c>
      <c r="N37">
        <f>2293-412</f>
        <v>1881</v>
      </c>
      <c r="O37">
        <f>3477-1394</f>
        <v>2083</v>
      </c>
      <c r="Q37">
        <f>((O37/D37)^(1/11))-1</f>
        <v>0.15847157860554661</v>
      </c>
    </row>
    <row r="38" spans="1:17" ht="17" x14ac:dyDescent="0.2">
      <c r="A38" s="2" t="s">
        <v>32</v>
      </c>
      <c r="C38">
        <f>2+1</f>
        <v>3</v>
      </c>
      <c r="D38">
        <v>36</v>
      </c>
      <c r="E38">
        <v>-50</v>
      </c>
      <c r="F38">
        <v>60</v>
      </c>
      <c r="G38">
        <v>94</v>
      </c>
      <c r="H38">
        <v>149</v>
      </c>
      <c r="I38">
        <v>232</v>
      </c>
      <c r="J38">
        <v>339</v>
      </c>
      <c r="K38">
        <v>315</v>
      </c>
      <c r="L38">
        <v>298</v>
      </c>
      <c r="M38">
        <v>422</v>
      </c>
      <c r="N38">
        <v>412</v>
      </c>
      <c r="O38">
        <v>1394</v>
      </c>
      <c r="Q38">
        <f t="shared" ref="Q38:Q41" si="7">((O38/D38)^(1/11))-1</f>
        <v>0.39431219174369181</v>
      </c>
    </row>
    <row r="39" spans="1:17" ht="17" x14ac:dyDescent="0.2">
      <c r="A39" s="2" t="s">
        <v>33</v>
      </c>
      <c r="B39" s="11">
        <v>0</v>
      </c>
      <c r="C39" s="11">
        <v>0</v>
      </c>
      <c r="D39" s="11">
        <f t="shared" ref="D39:O39" si="8">D38/D35</f>
        <v>6.1643835616438353E-2</v>
      </c>
      <c r="E39" s="11">
        <f t="shared" si="8"/>
        <v>-4.0551500405515001E-2</v>
      </c>
      <c r="F39" s="11">
        <f t="shared" si="8"/>
        <v>3.0737704918032786E-2</v>
      </c>
      <c r="G39" s="11">
        <f t="shared" si="8"/>
        <v>3.5113933507657825E-2</v>
      </c>
      <c r="H39" s="11">
        <f t="shared" si="8"/>
        <v>4.3351760256037243E-2</v>
      </c>
      <c r="I39" s="11">
        <f t="shared" si="8"/>
        <v>5.4243628711713815E-2</v>
      </c>
      <c r="J39" s="11">
        <f t="shared" si="8"/>
        <v>6.4719358533791529E-2</v>
      </c>
      <c r="K39" s="11">
        <f t="shared" si="8"/>
        <v>5.5663544795900334E-2</v>
      </c>
      <c r="L39" s="11">
        <f t="shared" si="8"/>
        <v>4.295185932545402E-2</v>
      </c>
      <c r="M39" s="11">
        <f t="shared" si="8"/>
        <v>4.9518892278807791E-2</v>
      </c>
      <c r="N39" s="11">
        <f t="shared" si="8"/>
        <v>3.9152332984890244E-2</v>
      </c>
      <c r="O39" s="11">
        <f t="shared" si="8"/>
        <v>0.10877028714107366</v>
      </c>
      <c r="P39" s="14"/>
      <c r="Q39">
        <f t="shared" si="7"/>
        <v>5.2979840193444927E-2</v>
      </c>
    </row>
    <row r="40" spans="1:17" ht="17" x14ac:dyDescent="0.2">
      <c r="A40" s="6" t="s">
        <v>8</v>
      </c>
      <c r="B40" s="11">
        <f>B38+B37</f>
        <v>0</v>
      </c>
      <c r="C40" s="11">
        <f t="shared" ref="C40:O40" si="9">C38+C37</f>
        <v>584</v>
      </c>
      <c r="D40" s="11">
        <f t="shared" si="9"/>
        <v>449</v>
      </c>
      <c r="E40" s="11">
        <f t="shared" si="9"/>
        <v>587</v>
      </c>
      <c r="F40" s="11">
        <f t="shared" si="9"/>
        <v>725</v>
      </c>
      <c r="G40" s="11">
        <f t="shared" si="9"/>
        <v>760</v>
      </c>
      <c r="H40" s="11">
        <f t="shared" si="9"/>
        <v>840</v>
      </c>
      <c r="I40" s="11">
        <f t="shared" si="9"/>
        <v>961</v>
      </c>
      <c r="J40" s="11">
        <f t="shared" si="9"/>
        <v>1121</v>
      </c>
      <c r="K40" s="11">
        <f t="shared" si="9"/>
        <v>1279</v>
      </c>
      <c r="L40" s="11">
        <f>L38+L37</f>
        <v>1453</v>
      </c>
      <c r="M40" s="11">
        <f t="shared" si="9"/>
        <v>2001</v>
      </c>
      <c r="N40" s="11">
        <f t="shared" si="9"/>
        <v>2293</v>
      </c>
      <c r="O40" s="11">
        <f t="shared" si="9"/>
        <v>3477</v>
      </c>
      <c r="Q40">
        <f t="shared" si="7"/>
        <v>0.20452105379991026</v>
      </c>
    </row>
    <row r="41" spans="1:17" ht="17" x14ac:dyDescent="0.2">
      <c r="A41" s="4" t="s">
        <v>34</v>
      </c>
      <c r="B41">
        <f>B35+B40</f>
        <v>0</v>
      </c>
      <c r="C41" s="11">
        <f t="shared" ref="C41:O41" si="10">C35+C40</f>
        <v>584</v>
      </c>
      <c r="D41" s="11">
        <f t="shared" si="10"/>
        <v>1033</v>
      </c>
      <c r="E41" s="11">
        <f t="shared" si="10"/>
        <v>1820</v>
      </c>
      <c r="F41" s="11">
        <f t="shared" si="10"/>
        <v>2677</v>
      </c>
      <c r="G41" s="11">
        <f t="shared" si="10"/>
        <v>3437</v>
      </c>
      <c r="H41" s="11">
        <f t="shared" si="10"/>
        <v>4277</v>
      </c>
      <c r="I41" s="11">
        <f>I35+I40</f>
        <v>5238</v>
      </c>
      <c r="J41" s="11">
        <f t="shared" si="10"/>
        <v>6359</v>
      </c>
      <c r="K41" s="11">
        <f t="shared" si="10"/>
        <v>6938</v>
      </c>
      <c r="L41" s="11">
        <f>L35+L40</f>
        <v>8391</v>
      </c>
      <c r="M41" s="11">
        <f t="shared" si="10"/>
        <v>10523</v>
      </c>
      <c r="N41" s="11">
        <f t="shared" si="10"/>
        <v>12816</v>
      </c>
      <c r="O41" s="11">
        <f t="shared" si="10"/>
        <v>16293</v>
      </c>
      <c r="Q41">
        <f t="shared" si="7"/>
        <v>0.28499094379165157</v>
      </c>
    </row>
    <row r="42" spans="1:17" ht="34" x14ac:dyDescent="0.2">
      <c r="A42" s="2" t="s">
        <v>48</v>
      </c>
      <c r="J42">
        <v>1000</v>
      </c>
      <c r="K42">
        <v>0</v>
      </c>
      <c r="L42">
        <v>0</v>
      </c>
      <c r="M42">
        <v>0</v>
      </c>
      <c r="N42">
        <v>0</v>
      </c>
      <c r="O42">
        <v>8000</v>
      </c>
      <c r="P42" s="16"/>
    </row>
    <row r="43" spans="1:17" ht="51" x14ac:dyDescent="0.2">
      <c r="A43" s="2" t="s">
        <v>60</v>
      </c>
      <c r="D43">
        <v>200</v>
      </c>
      <c r="E43">
        <v>132</v>
      </c>
      <c r="J43">
        <v>300</v>
      </c>
      <c r="L43">
        <v>131</v>
      </c>
      <c r="P43" s="16"/>
    </row>
    <row r="44" spans="1:17" ht="17" x14ac:dyDescent="0.2">
      <c r="A44" s="6" t="s">
        <v>35</v>
      </c>
      <c r="B44" s="11">
        <f>B41-B42</f>
        <v>0</v>
      </c>
      <c r="C44" s="11">
        <f t="shared" ref="C44:O44" si="11">C41-C42</f>
        <v>584</v>
      </c>
      <c r="D44" s="11">
        <f>D41-D42+D43</f>
        <v>1233</v>
      </c>
      <c r="E44" s="11">
        <f>E41-E42+E43</f>
        <v>1952</v>
      </c>
      <c r="F44" s="11">
        <f>F41-F42</f>
        <v>2677</v>
      </c>
      <c r="G44" s="11">
        <f t="shared" si="11"/>
        <v>3437</v>
      </c>
      <c r="H44" s="11">
        <f t="shared" si="11"/>
        <v>4277</v>
      </c>
      <c r="I44" s="11">
        <f t="shared" si="11"/>
        <v>5238</v>
      </c>
      <c r="J44" s="11">
        <f>J41-J42+J43</f>
        <v>5659</v>
      </c>
      <c r="K44" s="11">
        <f t="shared" si="11"/>
        <v>6938</v>
      </c>
      <c r="L44" s="11">
        <f>L41-L42+L43</f>
        <v>8522</v>
      </c>
      <c r="M44" s="11">
        <f t="shared" si="11"/>
        <v>10523</v>
      </c>
      <c r="N44" s="11">
        <f t="shared" si="11"/>
        <v>12816</v>
      </c>
      <c r="O44" s="11">
        <f t="shared" si="11"/>
        <v>8293</v>
      </c>
      <c r="Q44">
        <f>((O44/C44)^(1/12))-1</f>
        <v>0.24745503861282714</v>
      </c>
    </row>
    <row r="45" spans="1:17" ht="17" x14ac:dyDescent="0.2">
      <c r="A45" s="7" t="s">
        <v>40</v>
      </c>
    </row>
    <row r="46" spans="1:17" ht="17" x14ac:dyDescent="0.2">
      <c r="A46" s="1" t="s">
        <v>36</v>
      </c>
      <c r="E46">
        <v>2301</v>
      </c>
      <c r="F46">
        <v>433</v>
      </c>
      <c r="K46">
        <v>0</v>
      </c>
      <c r="L46">
        <v>0</v>
      </c>
      <c r="M46">
        <v>2191</v>
      </c>
      <c r="N46">
        <v>4552</v>
      </c>
      <c r="O46">
        <v>7174</v>
      </c>
    </row>
    <row r="47" spans="1:17" ht="17" x14ac:dyDescent="0.2">
      <c r="A47" s="2" t="s">
        <v>37</v>
      </c>
      <c r="B47" s="14"/>
      <c r="C47" s="14"/>
      <c r="D47" s="14"/>
      <c r="E47" s="11">
        <f>1845</f>
        <v>1845</v>
      </c>
      <c r="F47" s="11">
        <v>433</v>
      </c>
      <c r="G47" s="11">
        <f t="shared" ref="G47:N47" si="12">IF(G33&lt;0,MAX(G33-G46,0),0)</f>
        <v>0</v>
      </c>
      <c r="H47" s="11">
        <f t="shared" si="12"/>
        <v>0</v>
      </c>
      <c r="I47" s="11">
        <f t="shared" si="12"/>
        <v>0</v>
      </c>
      <c r="J47" s="11">
        <f t="shared" si="12"/>
        <v>0</v>
      </c>
      <c r="K47" s="11">
        <f t="shared" si="12"/>
        <v>0</v>
      </c>
      <c r="L47" s="11">
        <f t="shared" si="12"/>
        <v>0</v>
      </c>
      <c r="M47" s="11">
        <f t="shared" si="12"/>
        <v>0</v>
      </c>
      <c r="N47" s="11">
        <f t="shared" si="12"/>
        <v>0</v>
      </c>
      <c r="O47" s="11">
        <f>IF(O33&lt;0,MAX(O33-O46,0),0)</f>
        <v>0</v>
      </c>
    </row>
    <row r="48" spans="1:17" ht="17" x14ac:dyDescent="0.2">
      <c r="A48" s="6" t="s">
        <v>39</v>
      </c>
      <c r="B48" s="14"/>
      <c r="C48" s="14"/>
      <c r="D48" s="14"/>
      <c r="E48" s="11">
        <f>E33-E40+E47</f>
        <v>0</v>
      </c>
      <c r="F48" s="11">
        <f>F33-F40+F47+58</f>
        <v>-3174</v>
      </c>
      <c r="G48" s="11">
        <f t="shared" ref="G48:N48" si="13">G33-G40-G47</f>
        <v>-3150</v>
      </c>
      <c r="H48" s="11">
        <f t="shared" si="13"/>
        <v>-2628</v>
      </c>
      <c r="I48" s="11">
        <f>I33-I40-I47+1876</f>
        <v>-1600</v>
      </c>
      <c r="J48" s="11">
        <f t="shared" si="13"/>
        <v>-2824</v>
      </c>
      <c r="K48" s="11">
        <f t="shared" si="13"/>
        <v>-1143</v>
      </c>
      <c r="L48" s="11">
        <f>L33-L40-L47</f>
        <v>2191</v>
      </c>
      <c r="M48" s="11">
        <f t="shared" si="13"/>
        <v>2361</v>
      </c>
      <c r="N48" s="11">
        <f t="shared" si="13"/>
        <v>2622</v>
      </c>
      <c r="O48" s="11">
        <f>O33-O40+O47</f>
        <v>4803</v>
      </c>
    </row>
    <row r="49" spans="1:17" ht="17" x14ac:dyDescent="0.2">
      <c r="A49" s="10" t="s">
        <v>50</v>
      </c>
      <c r="B49" s="14"/>
      <c r="C49" s="14"/>
      <c r="D49" s="14"/>
      <c r="E49" s="17">
        <f>109-132</f>
        <v>-23</v>
      </c>
      <c r="F49" s="11">
        <f t="shared" ref="F49:N49" si="14">IF(F48&gt;0,F48,0)</f>
        <v>0</v>
      </c>
      <c r="G49" s="11">
        <f t="shared" si="14"/>
        <v>0</v>
      </c>
      <c r="H49" s="11">
        <f t="shared" si="14"/>
        <v>0</v>
      </c>
      <c r="I49" s="11">
        <f t="shared" si="14"/>
        <v>0</v>
      </c>
      <c r="J49" s="11">
        <f t="shared" si="14"/>
        <v>0</v>
      </c>
      <c r="K49" s="11">
        <f t="shared" si="14"/>
        <v>0</v>
      </c>
      <c r="L49" s="11">
        <f t="shared" si="14"/>
        <v>2191</v>
      </c>
      <c r="M49" s="11">
        <f t="shared" si="14"/>
        <v>2361</v>
      </c>
      <c r="N49" s="11">
        <f t="shared" si="14"/>
        <v>2622</v>
      </c>
      <c r="O49" s="11">
        <f>IF(O48&gt;0,O48,0)</f>
        <v>4803</v>
      </c>
    </row>
    <row r="50" spans="1:17" ht="17" x14ac:dyDescent="0.2">
      <c r="A50" s="6" t="s">
        <v>38</v>
      </c>
      <c r="B50" s="18">
        <v>950</v>
      </c>
      <c r="C50" s="18">
        <v>1300</v>
      </c>
      <c r="D50" s="18">
        <v>1817</v>
      </c>
      <c r="E50" s="11">
        <f>E46-E47+E49</f>
        <v>433</v>
      </c>
      <c r="F50" s="11">
        <f t="shared" ref="F50:N50" si="15">F46-F47+F49</f>
        <v>0</v>
      </c>
      <c r="G50" s="11">
        <f t="shared" si="15"/>
        <v>0</v>
      </c>
      <c r="H50" s="11">
        <f t="shared" si="15"/>
        <v>0</v>
      </c>
      <c r="I50" s="11">
        <f t="shared" si="15"/>
        <v>0</v>
      </c>
      <c r="J50" s="11">
        <f t="shared" si="15"/>
        <v>0</v>
      </c>
      <c r="K50" s="11">
        <f t="shared" si="15"/>
        <v>0</v>
      </c>
      <c r="L50" s="11">
        <f t="shared" si="15"/>
        <v>2191</v>
      </c>
      <c r="M50" s="11">
        <f t="shared" si="15"/>
        <v>4552</v>
      </c>
      <c r="N50" s="11">
        <f t="shared" si="15"/>
        <v>7174</v>
      </c>
      <c r="O50" s="11">
        <f>O46-O47+O49</f>
        <v>11977</v>
      </c>
      <c r="Q50">
        <f t="shared" si="0"/>
        <v>0.21524381327973874</v>
      </c>
    </row>
    <row r="51" spans="1:17" ht="17" x14ac:dyDescent="0.2">
      <c r="A51" s="8" t="s">
        <v>52</v>
      </c>
      <c r="B51" s="14"/>
      <c r="C51" s="14"/>
      <c r="D51" s="14"/>
      <c r="E51" s="14"/>
      <c r="F51" s="14"/>
      <c r="G51" s="14"/>
      <c r="H51" s="14"/>
      <c r="I51" s="14"/>
      <c r="J51" s="14"/>
      <c r="K51" s="14"/>
      <c r="L51" s="14"/>
      <c r="M51" s="14"/>
      <c r="N51" s="14"/>
      <c r="O51" s="14"/>
    </row>
    <row r="52" spans="1:17" ht="17" x14ac:dyDescent="0.2">
      <c r="A52" s="4" t="s">
        <v>57</v>
      </c>
      <c r="B52" s="14">
        <v>89508</v>
      </c>
      <c r="C52" s="14">
        <v>92011</v>
      </c>
      <c r="D52" s="14">
        <v>116537</v>
      </c>
      <c r="E52" s="14">
        <v>120527</v>
      </c>
      <c r="F52" s="14">
        <v>133224</v>
      </c>
      <c r="G52" s="14">
        <v>141054</v>
      </c>
      <c r="H52" s="14">
        <v>153629</v>
      </c>
      <c r="I52" s="14">
        <v>164686</v>
      </c>
      <c r="J52" s="14">
        <v>173576</v>
      </c>
      <c r="K52" s="14">
        <v>181032</v>
      </c>
      <c r="L52" s="14">
        <v>192750</v>
      </c>
      <c r="M52" s="14">
        <v>193945</v>
      </c>
      <c r="N52" s="14">
        <v>197556</v>
      </c>
      <c r="O52" s="14">
        <v>201949</v>
      </c>
      <c r="Q52">
        <f t="shared" si="0"/>
        <v>6.4591674916291142E-2</v>
      </c>
    </row>
    <row r="53" spans="1:17" ht="17" x14ac:dyDescent="0.2">
      <c r="A53" s="10" t="s">
        <v>58</v>
      </c>
      <c r="B53" s="11">
        <f t="shared" ref="B53:N53" si="16">B55-B52+B54</f>
        <v>6492</v>
      </c>
      <c r="C53" s="11">
        <f t="shared" si="16"/>
        <v>27068</v>
      </c>
      <c r="D53" s="11">
        <f t="shared" si="16"/>
        <v>8631</v>
      </c>
      <c r="E53" s="11">
        <f t="shared" si="16"/>
        <v>17671</v>
      </c>
      <c r="F53" s="11">
        <f t="shared" si="16"/>
        <v>13424</v>
      </c>
      <c r="G53" s="11">
        <f t="shared" si="16"/>
        <v>18482</v>
      </c>
      <c r="H53" s="11">
        <f t="shared" si="16"/>
        <v>14824</v>
      </c>
      <c r="I53" s="11">
        <f t="shared" si="16"/>
        <v>16351</v>
      </c>
      <c r="J53" s="11">
        <f t="shared" si="16"/>
        <v>19284</v>
      </c>
      <c r="K53" s="11">
        <f t="shared" si="16"/>
        <v>23894</v>
      </c>
      <c r="L53" s="11">
        <f t="shared" si="16"/>
        <v>16820</v>
      </c>
      <c r="M53" s="11">
        <f t="shared" si="16"/>
        <v>21277</v>
      </c>
      <c r="N53" s="11">
        <f t="shared" si="16"/>
        <v>24662</v>
      </c>
      <c r="O53" s="11">
        <f>O55-O52+O54</f>
        <v>22971</v>
      </c>
      <c r="Q53">
        <f t="shared" si="0"/>
        <v>0.10208601544408502</v>
      </c>
    </row>
    <row r="54" spans="1:17" ht="45" customHeight="1" x14ac:dyDescent="0.2">
      <c r="A54" s="9" t="s">
        <v>51</v>
      </c>
      <c r="B54" s="11">
        <f t="shared" ref="B54:O54" si="17">B42</f>
        <v>0</v>
      </c>
      <c r="C54" s="11">
        <f t="shared" si="17"/>
        <v>0</v>
      </c>
      <c r="D54" s="11">
        <f t="shared" si="17"/>
        <v>0</v>
      </c>
      <c r="E54" s="11">
        <f t="shared" si="17"/>
        <v>0</v>
      </c>
      <c r="F54" s="11">
        <f t="shared" si="17"/>
        <v>0</v>
      </c>
      <c r="G54" s="11">
        <f t="shared" si="17"/>
        <v>0</v>
      </c>
      <c r="H54" s="11">
        <f t="shared" si="17"/>
        <v>0</v>
      </c>
      <c r="I54" s="11">
        <f t="shared" si="17"/>
        <v>0</v>
      </c>
      <c r="J54" s="11">
        <f t="shared" si="17"/>
        <v>1000</v>
      </c>
      <c r="K54" s="11">
        <f t="shared" si="17"/>
        <v>0</v>
      </c>
      <c r="L54" s="11">
        <f t="shared" si="17"/>
        <v>0</v>
      </c>
      <c r="M54" s="11">
        <f t="shared" si="17"/>
        <v>0</v>
      </c>
      <c r="N54" s="11">
        <f t="shared" si="17"/>
        <v>0</v>
      </c>
      <c r="O54" s="11">
        <f t="shared" si="17"/>
        <v>8000</v>
      </c>
    </row>
    <row r="55" spans="1:17" ht="34" x14ac:dyDescent="0.2">
      <c r="A55" s="9" t="s">
        <v>53</v>
      </c>
      <c r="B55" s="14">
        <f>85700+1853+2849-22+5622-2</f>
        <v>96000</v>
      </c>
      <c r="C55" s="14">
        <f>109676+1075+2082+3144+3104-2</f>
        <v>119079</v>
      </c>
      <c r="D55" s="14">
        <f>113780+2081+2341+3450+3518-2</f>
        <v>125168</v>
      </c>
      <c r="E55" s="14">
        <f>126600+2413+2350+3639+3197-1</f>
        <v>138198</v>
      </c>
      <c r="F55" s="14">
        <v>146648</v>
      </c>
      <c r="G55" s="14">
        <v>159536</v>
      </c>
      <c r="H55" s="14">
        <v>168453</v>
      </c>
      <c r="I55" s="14">
        <v>181037</v>
      </c>
      <c r="J55" s="14">
        <v>191860</v>
      </c>
      <c r="K55" s="14">
        <v>204926</v>
      </c>
      <c r="L55" s="14">
        <v>209570</v>
      </c>
      <c r="M55" s="15">
        <v>215222</v>
      </c>
      <c r="N55" s="14">
        <v>222218</v>
      </c>
      <c r="O55" s="14">
        <v>216920</v>
      </c>
      <c r="Q55">
        <f t="shared" si="0"/>
        <v>6.4713966425344882E-2</v>
      </c>
    </row>
    <row r="56" spans="1:17" ht="34" x14ac:dyDescent="0.2">
      <c r="A56" s="10" t="s">
        <v>54</v>
      </c>
      <c r="B56" s="14">
        <v>3989</v>
      </c>
      <c r="C56" s="14">
        <v>4394</v>
      </c>
      <c r="D56" s="14">
        <v>4641</v>
      </c>
      <c r="E56" s="14">
        <v>4974</v>
      </c>
      <c r="F56" s="14">
        <v>5594</v>
      </c>
      <c r="G56" s="14">
        <v>5907</v>
      </c>
      <c r="H56" s="14">
        <v>6408</v>
      </c>
      <c r="I56" s="14">
        <v>10683</v>
      </c>
      <c r="J56" s="14">
        <v>14737</v>
      </c>
      <c r="K56" s="14">
        <v>15980</v>
      </c>
      <c r="L56" s="14">
        <v>19852</v>
      </c>
      <c r="M56" s="14">
        <v>22019</v>
      </c>
      <c r="N56" s="14">
        <v>24428</v>
      </c>
      <c r="O56" s="14">
        <v>25831</v>
      </c>
      <c r="Q56">
        <f t="shared" si="0"/>
        <v>0.15453190021232954</v>
      </c>
    </row>
    <row r="57" spans="1:17" ht="17" x14ac:dyDescent="0.2">
      <c r="A57" s="10" t="s">
        <v>55</v>
      </c>
      <c r="B57" s="14"/>
      <c r="C57" s="14"/>
      <c r="D57" s="14"/>
      <c r="E57" s="14"/>
      <c r="F57" s="14"/>
      <c r="G57" s="14"/>
      <c r="H57" s="14">
        <v>2641</v>
      </c>
      <c r="I57" s="14">
        <v>3226</v>
      </c>
      <c r="J57" s="14">
        <v>3909</v>
      </c>
      <c r="K57" s="14">
        <v>3804</v>
      </c>
      <c r="L57" s="14">
        <v>4227</v>
      </c>
      <c r="M57" s="14">
        <v>4353</v>
      </c>
      <c r="N57" s="14">
        <v>4159</v>
      </c>
      <c r="O57" s="14">
        <v>4099</v>
      </c>
    </row>
    <row r="58" spans="1:17" ht="17" x14ac:dyDescent="0.2">
      <c r="A58" s="1" t="s">
        <v>56</v>
      </c>
      <c r="B58" s="11">
        <f t="shared" ref="B58:N58" si="18">B55-B56+B57</f>
        <v>92011</v>
      </c>
      <c r="C58" s="11">
        <f>C55-C56+C57</f>
        <v>114685</v>
      </c>
      <c r="D58" s="11">
        <f t="shared" si="18"/>
        <v>120527</v>
      </c>
      <c r="E58" s="11">
        <f t="shared" si="18"/>
        <v>133224</v>
      </c>
      <c r="F58" s="11">
        <f t="shared" si="18"/>
        <v>141054</v>
      </c>
      <c r="G58" s="11">
        <f t="shared" si="18"/>
        <v>153629</v>
      </c>
      <c r="H58" s="11">
        <f t="shared" si="18"/>
        <v>164686</v>
      </c>
      <c r="I58" s="11">
        <f t="shared" si="18"/>
        <v>173580</v>
      </c>
      <c r="J58" s="11">
        <f t="shared" si="18"/>
        <v>181032</v>
      </c>
      <c r="K58" s="11">
        <f t="shared" si="18"/>
        <v>192750</v>
      </c>
      <c r="L58" s="11">
        <f t="shared" si="18"/>
        <v>193945</v>
      </c>
      <c r="M58" s="11">
        <f t="shared" si="18"/>
        <v>197556</v>
      </c>
      <c r="N58" s="11">
        <f t="shared" si="18"/>
        <v>201949</v>
      </c>
      <c r="O58" s="11">
        <f>O55-O56+O57</f>
        <v>195188</v>
      </c>
      <c r="Q58">
        <f t="shared" si="0"/>
        <v>5.9556462921203535E-2</v>
      </c>
    </row>
    <row r="59" spans="1:17" x14ac:dyDescent="0.2">
      <c r="A59" s="13"/>
      <c r="B59" s="14"/>
      <c r="C59" s="14"/>
      <c r="D59" s="14"/>
      <c r="E59" s="14"/>
      <c r="F59" s="14"/>
      <c r="G59" s="14"/>
      <c r="H59" s="14"/>
      <c r="I59" s="14"/>
      <c r="J59" s="14"/>
      <c r="K59" s="14"/>
      <c r="L59" s="14"/>
      <c r="M59" s="14"/>
      <c r="N59" s="14"/>
      <c r="O59" s="14"/>
    </row>
    <row r="60" spans="1:17" ht="17" x14ac:dyDescent="0.2">
      <c r="A60" s="8" t="s">
        <v>41</v>
      </c>
    </row>
    <row r="61" spans="1:17" ht="34" x14ac:dyDescent="0.2">
      <c r="A61" s="9" t="s">
        <v>59</v>
      </c>
      <c r="B61" s="11">
        <f t="shared" ref="B61:N61" si="19">B58</f>
        <v>92011</v>
      </c>
      <c r="C61" s="11">
        <f t="shared" si="19"/>
        <v>114685</v>
      </c>
      <c r="D61" s="11">
        <f t="shared" si="19"/>
        <v>120527</v>
      </c>
      <c r="E61" s="11">
        <f t="shared" si="19"/>
        <v>133224</v>
      </c>
      <c r="F61" s="11">
        <f t="shared" si="19"/>
        <v>141054</v>
      </c>
      <c r="G61" s="11">
        <f t="shared" si="19"/>
        <v>153629</v>
      </c>
      <c r="H61" s="11">
        <f t="shared" si="19"/>
        <v>164686</v>
      </c>
      <c r="I61" s="11">
        <f t="shared" si="19"/>
        <v>173580</v>
      </c>
      <c r="J61" s="11">
        <f t="shared" si="19"/>
        <v>181032</v>
      </c>
      <c r="K61" s="11">
        <f t="shared" si="19"/>
        <v>192750</v>
      </c>
      <c r="L61" s="11">
        <f t="shared" si="19"/>
        <v>193945</v>
      </c>
      <c r="M61" s="11">
        <f t="shared" si="19"/>
        <v>197556</v>
      </c>
      <c r="N61" s="11">
        <f t="shared" si="19"/>
        <v>201949</v>
      </c>
      <c r="O61" s="11">
        <f>O58</f>
        <v>195188</v>
      </c>
      <c r="Q61">
        <f t="shared" si="0"/>
        <v>5.9556462921203535E-2</v>
      </c>
    </row>
    <row r="62" spans="1:17" ht="17" x14ac:dyDescent="0.2">
      <c r="A62" s="3" t="s">
        <v>42</v>
      </c>
    </row>
    <row r="63" spans="1:17" ht="17" x14ac:dyDescent="0.2">
      <c r="A63" s="2" t="s">
        <v>43</v>
      </c>
      <c r="B63">
        <v>37182</v>
      </c>
      <c r="C63">
        <f>32844+752</f>
        <v>33596</v>
      </c>
      <c r="D63">
        <f>30426+733</f>
        <v>31159</v>
      </c>
      <c r="E63">
        <v>28708</v>
      </c>
      <c r="F63">
        <v>29921</v>
      </c>
      <c r="G63">
        <v>29125</v>
      </c>
      <c r="H63">
        <v>28774</v>
      </c>
      <c r="I63">
        <v>28378</v>
      </c>
      <c r="J63">
        <v>28672</v>
      </c>
      <c r="K63">
        <v>28172</v>
      </c>
      <c r="L63">
        <v>26745</v>
      </c>
      <c r="M63">
        <v>24647</v>
      </c>
      <c r="N63">
        <v>21903</v>
      </c>
      <c r="O63">
        <v>18362</v>
      </c>
      <c r="Q63">
        <f t="shared" si="0"/>
        <v>-5.2825957908427368E-2</v>
      </c>
    </row>
    <row r="64" spans="1:17" ht="17" x14ac:dyDescent="0.2">
      <c r="A64" s="1" t="s">
        <v>44</v>
      </c>
    </row>
    <row r="65" spans="1:17" ht="17" x14ac:dyDescent="0.2">
      <c r="A65" s="2" t="s">
        <v>45</v>
      </c>
      <c r="B65" s="11">
        <f>B44</f>
        <v>0</v>
      </c>
      <c r="C65" s="11">
        <f t="shared" ref="C65:O65" si="20">C44</f>
        <v>584</v>
      </c>
      <c r="D65" s="11">
        <f t="shared" si="20"/>
        <v>1233</v>
      </c>
      <c r="E65" s="11">
        <f t="shared" si="20"/>
        <v>1952</v>
      </c>
      <c r="F65" s="11">
        <f t="shared" si="20"/>
        <v>2677</v>
      </c>
      <c r="G65" s="11">
        <f t="shared" si="20"/>
        <v>3437</v>
      </c>
      <c r="H65" s="11">
        <f t="shared" si="20"/>
        <v>4277</v>
      </c>
      <c r="I65" s="11">
        <f t="shared" si="20"/>
        <v>5238</v>
      </c>
      <c r="J65" s="11">
        <f t="shared" si="20"/>
        <v>5659</v>
      </c>
      <c r="K65" s="11">
        <f t="shared" si="20"/>
        <v>6938</v>
      </c>
      <c r="L65" s="11">
        <f t="shared" si="20"/>
        <v>8522</v>
      </c>
      <c r="M65" s="11">
        <f t="shared" si="20"/>
        <v>10523</v>
      </c>
      <c r="N65" s="11">
        <f t="shared" si="20"/>
        <v>12816</v>
      </c>
      <c r="O65" s="11">
        <f t="shared" si="20"/>
        <v>8293</v>
      </c>
      <c r="Q65">
        <f>((O65/C65)^(1/12))-1</f>
        <v>0.24745503861282714</v>
      </c>
    </row>
    <row r="66" spans="1:17" ht="34" x14ac:dyDescent="0.2">
      <c r="A66" s="2" t="s">
        <v>46</v>
      </c>
      <c r="B66">
        <f>2684+745</f>
        <v>3429</v>
      </c>
      <c r="C66">
        <f>6069+31</f>
        <v>6100</v>
      </c>
      <c r="D66">
        <f>2413+25</f>
        <v>2438</v>
      </c>
      <c r="E66" s="14"/>
      <c r="F66">
        <f>697+4283</f>
        <v>4980</v>
      </c>
      <c r="G66">
        <f>1363+4518</f>
        <v>5881</v>
      </c>
      <c r="H66">
        <f>1363+4436</f>
        <v>5799</v>
      </c>
      <c r="I66">
        <f>1479+3485</f>
        <v>4964</v>
      </c>
      <c r="J66">
        <f>1142+5805</f>
        <v>6947</v>
      </c>
      <c r="K66">
        <f>383+9644</f>
        <v>10027</v>
      </c>
      <c r="L66">
        <f>308+8513</f>
        <v>8821</v>
      </c>
      <c r="M66">
        <f>258+7932</f>
        <v>8190</v>
      </c>
      <c r="N66">
        <f>9747+218</f>
        <v>9965</v>
      </c>
      <c r="O66">
        <f>210+5949</f>
        <v>6159</v>
      </c>
      <c r="Q66">
        <f t="shared" si="0"/>
        <v>4.6079820881017142E-2</v>
      </c>
    </row>
    <row r="67" spans="1:17" ht="34" x14ac:dyDescent="0.2">
      <c r="A67" s="6" t="s">
        <v>47</v>
      </c>
      <c r="B67" s="12">
        <f t="shared" ref="B67:N67" si="21">B61+B63-B65-B66</f>
        <v>125764</v>
      </c>
      <c r="C67" s="12">
        <f t="shared" si="21"/>
        <v>141597</v>
      </c>
      <c r="D67" s="12">
        <f>D61+D63-D65-D66</f>
        <v>148015</v>
      </c>
      <c r="E67" s="12">
        <f t="shared" si="21"/>
        <v>159980</v>
      </c>
      <c r="F67" s="12">
        <f t="shared" si="21"/>
        <v>163318</v>
      </c>
      <c r="G67" s="12">
        <f t="shared" si="21"/>
        <v>173436</v>
      </c>
      <c r="H67" s="12">
        <f t="shared" si="21"/>
        <v>183384</v>
      </c>
      <c r="I67" s="12">
        <f t="shared" si="21"/>
        <v>191756</v>
      </c>
      <c r="J67" s="12">
        <f t="shared" si="21"/>
        <v>197098</v>
      </c>
      <c r="K67" s="12">
        <f t="shared" si="21"/>
        <v>203957</v>
      </c>
      <c r="L67" s="12">
        <f t="shared" si="21"/>
        <v>203347</v>
      </c>
      <c r="M67" s="12">
        <f t="shared" si="21"/>
        <v>203490</v>
      </c>
      <c r="N67" s="12">
        <f t="shared" si="21"/>
        <v>201071</v>
      </c>
      <c r="O67" s="12">
        <f>O61+O63-O65-O66</f>
        <v>199098</v>
      </c>
      <c r="Q67">
        <f t="shared" si="0"/>
        <v>3.5969491137055609E-2</v>
      </c>
    </row>
    <row r="71" spans="1:17" x14ac:dyDescent="0.2">
      <c r="B71">
        <f>B53/B52</f>
        <v>7.2529829735889534E-2</v>
      </c>
      <c r="C71">
        <f t="shared" ref="C71:O71" si="22">C53/C52</f>
        <v>0.29418221734357847</v>
      </c>
      <c r="D71">
        <f t="shared" si="22"/>
        <v>7.4062314972927049E-2</v>
      </c>
      <c r="E71">
        <f t="shared" si="22"/>
        <v>0.14661445153368124</v>
      </c>
      <c r="F71">
        <f t="shared" si="22"/>
        <v>0.10076262535278929</v>
      </c>
      <c r="G71">
        <f t="shared" si="22"/>
        <v>0.13102783331206488</v>
      </c>
      <c r="H71">
        <f t="shared" si="22"/>
        <v>9.6492198738519414E-2</v>
      </c>
      <c r="I71">
        <f t="shared" si="22"/>
        <v>9.928591379959438E-2</v>
      </c>
      <c r="J71">
        <f t="shared" si="22"/>
        <v>0.11109830852191548</v>
      </c>
      <c r="K71">
        <f t="shared" si="22"/>
        <v>0.13198771487913738</v>
      </c>
      <c r="L71">
        <f t="shared" si="22"/>
        <v>8.72632944228275E-2</v>
      </c>
      <c r="M71">
        <f t="shared" si="22"/>
        <v>0.10970636005052979</v>
      </c>
      <c r="N71">
        <f t="shared" si="22"/>
        <v>0.12483548968393772</v>
      </c>
      <c r="O71">
        <f t="shared" si="22"/>
        <v>0.11374653996801172</v>
      </c>
    </row>
    <row r="72" spans="1:17" x14ac:dyDescent="0.2">
      <c r="B72">
        <f>B56/B52</f>
        <v>4.4565848862671495E-2</v>
      </c>
      <c r="C72">
        <f t="shared" ref="C72:O72" si="23">C56/C52</f>
        <v>4.7755159709165211E-2</v>
      </c>
      <c r="D72">
        <f t="shared" si="23"/>
        <v>3.9824261822425495E-2</v>
      </c>
      <c r="E72">
        <f t="shared" si="23"/>
        <v>4.1268761356376582E-2</v>
      </c>
      <c r="F72">
        <f t="shared" si="23"/>
        <v>4.1989431333693629E-2</v>
      </c>
      <c r="G72">
        <f t="shared" si="23"/>
        <v>4.1877578799608663E-2</v>
      </c>
      <c r="H72">
        <f t="shared" si="23"/>
        <v>4.1710874899921237E-2</v>
      </c>
      <c r="I72">
        <f t="shared" si="23"/>
        <v>6.4868902031745265E-2</v>
      </c>
      <c r="J72">
        <f t="shared" si="23"/>
        <v>8.4902290639258887E-2</v>
      </c>
      <c r="K72">
        <f t="shared" si="23"/>
        <v>8.8271686773609082E-2</v>
      </c>
      <c r="L72">
        <f t="shared" si="23"/>
        <v>0.1029935149156939</v>
      </c>
      <c r="M72">
        <f t="shared" si="23"/>
        <v>0.11353218696022069</v>
      </c>
      <c r="N72">
        <f t="shared" si="23"/>
        <v>0.12365101540828929</v>
      </c>
      <c r="O72">
        <f t="shared" si="23"/>
        <v>0.12790853136187849</v>
      </c>
    </row>
  </sheetData>
  <pageMargins left="0.7" right="0.7" top="0.75" bottom="0.75" header="0.3" footer="0.3"/>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O43"/>
  <sheetViews>
    <sheetView topLeftCell="A9" workbookViewId="0">
      <selection activeCell="O40" sqref="O40"/>
    </sheetView>
  </sheetViews>
  <sheetFormatPr baseColWidth="10" defaultRowHeight="16" x14ac:dyDescent="0.2"/>
  <cols>
    <col min="1" max="1" width="18.83203125" customWidth="1"/>
  </cols>
  <sheetData>
    <row r="1" spans="1:15" x14ac:dyDescent="0.2">
      <c r="A1" t="s">
        <v>62</v>
      </c>
      <c r="B1">
        <f>Consolidé!B1</f>
        <v>2006</v>
      </c>
      <c r="C1">
        <f>Consolidé!C1</f>
        <v>2007</v>
      </c>
      <c r="D1">
        <f>Consolidé!D1</f>
        <v>2008</v>
      </c>
      <c r="E1">
        <f>Consolidé!E1</f>
        <v>2009</v>
      </c>
      <c r="F1">
        <f>Consolidé!F1</f>
        <v>2010</v>
      </c>
      <c r="G1">
        <f>Consolidé!G1</f>
        <v>2011</v>
      </c>
      <c r="H1">
        <f>Consolidé!H1</f>
        <v>2012</v>
      </c>
      <c r="I1">
        <f>Consolidé!I1</f>
        <v>2013</v>
      </c>
      <c r="J1">
        <f>Consolidé!J1</f>
        <v>2014</v>
      </c>
      <c r="K1">
        <f>Consolidé!K1</f>
        <v>2015</v>
      </c>
      <c r="L1">
        <f>Consolidé!L1</f>
        <v>2016</v>
      </c>
      <c r="M1">
        <f>Consolidé!M1</f>
        <v>2017</v>
      </c>
      <c r="N1">
        <f>Consolidé!N1</f>
        <v>2018</v>
      </c>
      <c r="O1">
        <f>Consolidé!O1</f>
        <v>2019</v>
      </c>
    </row>
    <row r="2" spans="1:15" x14ac:dyDescent="0.2">
      <c r="A2" t="s">
        <v>87</v>
      </c>
      <c r="B2">
        <f>Consolidé!B5</f>
        <v>17204</v>
      </c>
      <c r="C2">
        <f>Consolidé!C5</f>
        <v>19251</v>
      </c>
      <c r="D2">
        <f>Consolidé!D5</f>
        <v>19447</v>
      </c>
      <c r="E2">
        <f>Consolidé!E5</f>
        <v>18766</v>
      </c>
      <c r="F2">
        <f>Consolidé!F5</f>
        <v>18188</v>
      </c>
      <c r="G2">
        <f>Consolidé!G5</f>
        <v>19732</v>
      </c>
      <c r="H2">
        <f>Consolidé!H5</f>
        <v>21128</v>
      </c>
      <c r="I2">
        <f>Consolidé!I5</f>
        <v>21506</v>
      </c>
      <c r="J2">
        <f>Consolidé!J5</f>
        <v>22473</v>
      </c>
      <c r="K2">
        <f>Consolidé!K5</f>
        <v>23460</v>
      </c>
      <c r="L2">
        <f>Consolidé!L5</f>
        <v>24726</v>
      </c>
      <c r="M2">
        <f>Consolidé!M5</f>
        <v>25290</v>
      </c>
      <c r="N2">
        <f>Consolidé!N5</f>
        <v>25349</v>
      </c>
      <c r="O2">
        <f>Consolidé!O5</f>
        <v>27206</v>
      </c>
    </row>
    <row r="3" spans="1:15" x14ac:dyDescent="0.2">
      <c r="A3" t="s">
        <v>88</v>
      </c>
      <c r="B3">
        <f>Consolidé!B6</f>
        <v>2538</v>
      </c>
      <c r="C3">
        <f>Consolidé!C6</f>
        <v>2877</v>
      </c>
      <c r="D3">
        <f>Consolidé!D6</f>
        <v>2962</v>
      </c>
      <c r="E3">
        <f>Consolidé!E6</f>
        <v>3075</v>
      </c>
      <c r="F3">
        <f>Consolidé!F6</f>
        <v>3379</v>
      </c>
      <c r="G3">
        <f>Consolidé!G6</f>
        <v>3335</v>
      </c>
      <c r="H3">
        <f>Consolidé!H6</f>
        <v>3423</v>
      </c>
      <c r="I3">
        <f>Consolidé!I6</f>
        <v>3564</v>
      </c>
      <c r="J3">
        <f>Consolidé!J6</f>
        <v>3730</v>
      </c>
      <c r="K3">
        <f>Consolidé!K6</f>
        <v>4087</v>
      </c>
      <c r="L3">
        <f>Consolidé!L6</f>
        <v>4027</v>
      </c>
      <c r="M3">
        <f>Consolidé!M6</f>
        <v>3941</v>
      </c>
      <c r="N3">
        <f>Consolidé!N6</f>
        <v>4179</v>
      </c>
      <c r="O3">
        <f>Consolidé!O6</f>
        <v>4567</v>
      </c>
    </row>
    <row r="4" spans="1:15" x14ac:dyDescent="0.2">
      <c r="A4" t="s">
        <v>89</v>
      </c>
      <c r="B4">
        <f>Consolidé!B8</f>
        <v>4787</v>
      </c>
      <c r="C4">
        <f>Consolidé!C8</f>
        <v>4779</v>
      </c>
      <c r="D4">
        <f>Consolidé!D8</f>
        <v>4819</v>
      </c>
      <c r="E4">
        <f>Consolidé!E8</f>
        <v>4176</v>
      </c>
      <c r="F4">
        <f>Consolidé!F8</f>
        <v>3878</v>
      </c>
      <c r="G4">
        <f>Consolidé!G8</f>
        <v>3926</v>
      </c>
      <c r="H4">
        <f>Consolidé!H8</f>
        <v>4212</v>
      </c>
      <c r="I4">
        <f>Consolidé!I8</f>
        <v>4281</v>
      </c>
      <c r="J4">
        <f>Consolidé!J8</f>
        <v>3611</v>
      </c>
      <c r="K4">
        <f>Consolidé!K8</f>
        <v>3957</v>
      </c>
      <c r="L4">
        <f>Consolidé!L8</f>
        <v>5040</v>
      </c>
      <c r="M4">
        <f>Consolidé!M8</f>
        <v>5574</v>
      </c>
      <c r="N4">
        <f>Consolidé!N8</f>
        <v>6358</v>
      </c>
      <c r="O4">
        <f>Consolidé!O8</f>
        <v>7457</v>
      </c>
    </row>
    <row r="5" spans="1:15" x14ac:dyDescent="0.2">
      <c r="A5" t="s">
        <v>90</v>
      </c>
      <c r="B5">
        <f>Consolidé!B9</f>
        <v>1209</v>
      </c>
      <c r="C5">
        <f>Consolidé!C9</f>
        <v>1391</v>
      </c>
      <c r="D5">
        <f>Consolidé!D9</f>
        <v>1440</v>
      </c>
      <c r="E5">
        <f>Consolidé!E9</f>
        <v>1630</v>
      </c>
      <c r="F5">
        <f>Consolidé!F9</f>
        <v>1617</v>
      </c>
      <c r="G5">
        <f>Consolidé!G9</f>
        <v>1847</v>
      </c>
      <c r="H5">
        <f>Consolidé!H9</f>
        <v>1747</v>
      </c>
      <c r="I5">
        <f>Consolidé!I9</f>
        <v>1753</v>
      </c>
      <c r="J5">
        <f>Consolidé!J9</f>
        <v>2014</v>
      </c>
      <c r="K5">
        <f>Consolidé!K9</f>
        <v>1880</v>
      </c>
      <c r="L5">
        <f>Consolidé!L9</f>
        <v>1976</v>
      </c>
      <c r="M5">
        <f>Consolidé!M9</f>
        <v>1906</v>
      </c>
      <c r="N5">
        <f>Consolidé!N9</f>
        <v>1784</v>
      </c>
      <c r="O5">
        <f>Consolidé!O9</f>
        <v>1726</v>
      </c>
    </row>
    <row r="6" spans="1:15" x14ac:dyDescent="0.2">
      <c r="A6" t="s">
        <v>63</v>
      </c>
      <c r="B6">
        <f>Consolidé!B10</f>
        <v>5563</v>
      </c>
      <c r="C6">
        <f>Consolidé!C10</f>
        <v>5601</v>
      </c>
      <c r="D6">
        <f>Consolidé!D10</f>
        <v>5958</v>
      </c>
      <c r="E6">
        <f>Consolidé!E10</f>
        <v>6251</v>
      </c>
      <c r="F6">
        <f>Consolidé!F10</f>
        <v>5605</v>
      </c>
      <c r="G6">
        <f>Consolidé!G10</f>
        <v>6070</v>
      </c>
      <c r="H6">
        <f>Consolidé!H10</f>
        <v>6640</v>
      </c>
      <c r="I6">
        <f>Consolidé!I10</f>
        <v>6391</v>
      </c>
      <c r="J6">
        <f>Consolidé!J10</f>
        <v>6251</v>
      </c>
      <c r="K6">
        <f>Consolidé!K10</f>
        <v>6397</v>
      </c>
      <c r="L6">
        <f>Consolidé!L10</f>
        <v>6614</v>
      </c>
      <c r="M6">
        <f>Consolidé!M10</f>
        <v>5969</v>
      </c>
      <c r="N6">
        <f>Consolidé!N10</f>
        <v>6221</v>
      </c>
      <c r="O6">
        <f>Consolidé!O10</f>
        <v>6359</v>
      </c>
    </row>
    <row r="7" spans="1:15" x14ac:dyDescent="0.2">
      <c r="A7" t="s">
        <v>64</v>
      </c>
      <c r="B7">
        <f>Consolidé!B11</f>
        <v>0</v>
      </c>
      <c r="C7">
        <f>Consolidé!C11</f>
        <v>0</v>
      </c>
      <c r="D7">
        <f>Consolidé!D11</f>
        <v>0</v>
      </c>
      <c r="E7">
        <f>Consolidé!E11</f>
        <v>0</v>
      </c>
      <c r="F7">
        <f>Consolidé!F11</f>
        <v>1469</v>
      </c>
      <c r="G7">
        <f>Consolidé!G11</f>
        <v>1492</v>
      </c>
      <c r="H7">
        <f>Consolidé!H11</f>
        <v>1526</v>
      </c>
      <c r="I7">
        <f>Consolidé!I11</f>
        <v>1577</v>
      </c>
      <c r="J7">
        <f>Consolidé!J11</f>
        <v>1786</v>
      </c>
      <c r="K7">
        <f>Consolidé!K11</f>
        <v>1954</v>
      </c>
      <c r="L7">
        <f>Consolidé!L11</f>
        <v>2090</v>
      </c>
      <c r="M7">
        <f>Consolidé!M11</f>
        <v>2169</v>
      </c>
      <c r="N7">
        <f>Consolidé!N11</f>
        <v>2243</v>
      </c>
      <c r="O7">
        <f>Consolidé!O11</f>
        <v>1853</v>
      </c>
    </row>
    <row r="8" spans="1:15" x14ac:dyDescent="0.2">
      <c r="A8" t="s">
        <v>65</v>
      </c>
      <c r="B8">
        <f>Consolidé!B12</f>
        <v>11871</v>
      </c>
      <c r="C8">
        <f>Consolidé!C12</f>
        <v>12080</v>
      </c>
      <c r="D8">
        <f>Consolidé!D12</f>
        <v>12347</v>
      </c>
      <c r="E8">
        <f>Consolidé!E12</f>
        <v>12778</v>
      </c>
      <c r="F8">
        <f>Consolidé!F12</f>
        <v>12630</v>
      </c>
      <c r="G8">
        <f>Consolidé!G12</f>
        <v>13910</v>
      </c>
      <c r="H8">
        <f>Consolidé!H12</f>
        <v>15530</v>
      </c>
      <c r="I8">
        <f>Consolidé!I12</f>
        <v>16079</v>
      </c>
      <c r="J8">
        <f>Consolidé!J12</f>
        <v>17135</v>
      </c>
      <c r="K8">
        <f>Consolidé!K12</f>
        <v>17657</v>
      </c>
      <c r="L8">
        <f>Consolidé!L12</f>
        <v>18517</v>
      </c>
      <c r="M8">
        <f>Consolidé!M12</f>
        <v>19269</v>
      </c>
      <c r="N8">
        <f>Consolidé!N12</f>
        <v>20329</v>
      </c>
      <c r="O8">
        <f>Consolidé!O12</f>
        <v>21001</v>
      </c>
    </row>
    <row r="9" spans="1:15" x14ac:dyDescent="0.2">
      <c r="A9" t="s">
        <v>66</v>
      </c>
      <c r="B9">
        <f>Consolidé!B13</f>
        <v>1506</v>
      </c>
      <c r="C9">
        <f>Consolidé!C13</f>
        <v>1641</v>
      </c>
      <c r="D9">
        <f>Consolidé!D13</f>
        <v>1652</v>
      </c>
      <c r="E9">
        <f>Consolidé!E13</f>
        <v>1714</v>
      </c>
      <c r="F9">
        <f>Consolidé!F13</f>
        <v>1878</v>
      </c>
      <c r="G9">
        <f>Consolidé!G13</f>
        <v>2051</v>
      </c>
      <c r="H9">
        <f>Consolidé!H13</f>
        <v>2147</v>
      </c>
      <c r="I9">
        <f>Consolidé!I13</f>
        <v>2084</v>
      </c>
      <c r="J9">
        <f>Consolidé!J13</f>
        <v>2198</v>
      </c>
      <c r="K9">
        <f>Consolidé!K13</f>
        <v>2521</v>
      </c>
      <c r="L9">
        <f>Consolidé!L13</f>
        <v>3828</v>
      </c>
      <c r="M9">
        <f>Consolidé!M13</f>
        <v>3297</v>
      </c>
      <c r="N9">
        <f>Consolidé!N13</f>
        <v>3965</v>
      </c>
      <c r="O9">
        <f>Consolidé!O13</f>
        <v>4361</v>
      </c>
    </row>
    <row r="10" spans="1:15" x14ac:dyDescent="0.2">
      <c r="A10" t="s">
        <v>67</v>
      </c>
      <c r="B10">
        <f>Consolidé!B14</f>
        <v>4554</v>
      </c>
      <c r="C10">
        <f>Consolidé!C14</f>
        <v>6304</v>
      </c>
      <c r="D10">
        <f>Consolidé!D14</f>
        <v>5438</v>
      </c>
      <c r="E10">
        <f>Consolidé!E14</f>
        <v>5649</v>
      </c>
      <c r="F10">
        <f>Consolidé!F14</f>
        <v>5536</v>
      </c>
      <c r="G10">
        <f>Consolidé!G14</f>
        <v>5488</v>
      </c>
      <c r="H10">
        <f>Consolidé!H14</f>
        <v>5431</v>
      </c>
      <c r="I10">
        <f>Consolidé!I14</f>
        <v>3949</v>
      </c>
      <c r="J10">
        <f>Consolidé!J14</f>
        <v>6193</v>
      </c>
      <c r="K10">
        <f>Consolidé!K14</f>
        <v>6168</v>
      </c>
      <c r="L10">
        <f>Consolidé!L14</f>
        <v>5013</v>
      </c>
      <c r="M10">
        <f>Consolidé!M14</f>
        <v>4899</v>
      </c>
      <c r="N10">
        <f>Consolidé!N14</f>
        <v>5093</v>
      </c>
      <c r="O10">
        <f>Consolidé!O14</f>
        <v>5548</v>
      </c>
    </row>
    <row r="11" spans="1:15" x14ac:dyDescent="0.2">
      <c r="A11" t="s">
        <v>86</v>
      </c>
      <c r="B11">
        <f>Consolidé!B15</f>
        <v>3427</v>
      </c>
      <c r="C11">
        <f>Consolidé!C15</f>
        <v>3570</v>
      </c>
      <c r="D11">
        <f>Consolidé!D15</f>
        <v>4350</v>
      </c>
      <c r="E11">
        <f>Consolidé!E15</f>
        <v>4126</v>
      </c>
      <c r="F11">
        <f>Consolidé!F15</f>
        <v>7332</v>
      </c>
      <c r="G11">
        <f>Consolidé!G15</f>
        <v>7538</v>
      </c>
      <c r="H11">
        <f>Consolidé!H15</f>
        <v>7716</v>
      </c>
      <c r="I11">
        <f>Consolidé!I15</f>
        <v>9296</v>
      </c>
      <c r="J11">
        <f>Consolidé!J15</f>
        <v>9290</v>
      </c>
      <c r="K11">
        <f>Consolidé!K15</f>
        <v>9317</v>
      </c>
      <c r="L11">
        <f>Consolidé!L15</f>
        <v>9391</v>
      </c>
      <c r="M11">
        <f>Consolidé!M15</f>
        <v>10391</v>
      </c>
      <c r="N11">
        <f>Consolidé!N15</f>
        <v>10398</v>
      </c>
      <c r="O11">
        <f>Consolidé!O15</f>
        <v>11548</v>
      </c>
    </row>
    <row r="12" spans="1:15" x14ac:dyDescent="0.2">
      <c r="A12" t="s">
        <v>68</v>
      </c>
      <c r="B12">
        <f>Consolidé!B18</f>
        <v>4798</v>
      </c>
      <c r="C12">
        <f>Consolidé!C18</f>
        <v>5539</v>
      </c>
      <c r="D12">
        <f>Consolidé!D18</f>
        <v>7160</v>
      </c>
      <c r="E12">
        <f>Consolidé!E18</f>
        <v>8028</v>
      </c>
      <c r="F12">
        <f>Consolidé!F18</f>
        <v>8355</v>
      </c>
      <c r="G12">
        <f>Consolidé!G18</f>
        <v>8552</v>
      </c>
      <c r="H12">
        <f>Consolidé!H18</f>
        <v>7815</v>
      </c>
      <c r="I12">
        <f>Consolidé!I18</f>
        <v>7391</v>
      </c>
      <c r="J12">
        <f>Consolidé!J18</f>
        <v>7833</v>
      </c>
      <c r="K12">
        <f>Consolidé!K18</f>
        <v>9286</v>
      </c>
      <c r="L12">
        <f>Consolidé!L18</f>
        <v>9521</v>
      </c>
      <c r="M12">
        <f>Consolidé!M18</f>
        <v>10030</v>
      </c>
      <c r="N12">
        <f>Consolidé!N18</f>
        <v>11081</v>
      </c>
      <c r="O12">
        <f>Consolidé!O18</f>
        <v>11732</v>
      </c>
    </row>
    <row r="13" spans="1:15" x14ac:dyDescent="0.2">
      <c r="A13" t="s">
        <v>69</v>
      </c>
      <c r="B13">
        <f>Consolidé!B19</f>
        <v>3185</v>
      </c>
      <c r="C13">
        <f>Consolidé!C19</f>
        <v>3649</v>
      </c>
      <c r="D13">
        <f>Consolidé!D19</f>
        <v>3925</v>
      </c>
      <c r="E13">
        <f>Consolidé!E19</f>
        <v>3740</v>
      </c>
      <c r="F13">
        <f>Consolidé!F19</f>
        <v>4148</v>
      </c>
      <c r="G13">
        <f>Consolidé!G19</f>
        <v>4309</v>
      </c>
      <c r="H13">
        <f>Consolidé!H19</f>
        <v>4511</v>
      </c>
      <c r="I13">
        <f>Consolidé!I19</f>
        <v>4792</v>
      </c>
      <c r="J13">
        <f>Consolidé!J19</f>
        <v>5290</v>
      </c>
      <c r="K13">
        <f>Consolidé!K19</f>
        <v>5282</v>
      </c>
      <c r="L13">
        <f>Consolidé!L19</f>
        <v>5487</v>
      </c>
      <c r="M13">
        <f>Consolidé!M19</f>
        <v>5946</v>
      </c>
      <c r="N13">
        <f>Consolidé!N19</f>
        <v>6096</v>
      </c>
      <c r="O13">
        <f>Consolidé!O19</f>
        <v>6306</v>
      </c>
    </row>
    <row r="14" spans="1:15" x14ac:dyDescent="0.2">
      <c r="A14" t="s">
        <v>70</v>
      </c>
      <c r="B14">
        <f>Consolidé!B20</f>
        <v>3139</v>
      </c>
      <c r="C14">
        <f>Consolidé!C20</f>
        <v>2782</v>
      </c>
      <c r="D14">
        <f>Consolidé!D20</f>
        <v>3648</v>
      </c>
      <c r="E14">
        <f>Consolidé!E20</f>
        <v>3313</v>
      </c>
      <c r="F14">
        <f>Consolidé!F20</f>
        <v>4607</v>
      </c>
      <c r="G14">
        <f>Consolidé!G20</f>
        <v>4632</v>
      </c>
      <c r="H14">
        <f>Consolidé!H20</f>
        <v>4612</v>
      </c>
      <c r="I14">
        <f>Consolidé!I20</f>
        <v>5334</v>
      </c>
      <c r="J14">
        <f>Consolidé!J20</f>
        <v>5427</v>
      </c>
      <c r="K14">
        <f>Consolidé!K20</f>
        <v>3971</v>
      </c>
      <c r="L14">
        <f>Consolidé!L20</f>
        <v>3893</v>
      </c>
      <c r="M14">
        <f>Consolidé!M20</f>
        <v>4203</v>
      </c>
      <c r="N14">
        <f>Consolidé!N20</f>
        <v>5308</v>
      </c>
      <c r="O14">
        <f>Consolidé!O20</f>
        <v>5082</v>
      </c>
    </row>
    <row r="15" spans="1:15" x14ac:dyDescent="0.2">
      <c r="A15" t="s">
        <v>71</v>
      </c>
      <c r="B15">
        <f>Consolidé!B24</f>
        <v>22081</v>
      </c>
      <c r="C15">
        <f>Consolidé!C24</f>
        <v>23909</v>
      </c>
      <c r="D15">
        <f>Consolidé!D24</f>
        <v>25606</v>
      </c>
      <c r="E15">
        <f>Consolidé!E24</f>
        <v>26975</v>
      </c>
      <c r="F15">
        <f>Consolidé!F24</f>
        <v>29986</v>
      </c>
      <c r="G15">
        <f>Consolidé!G24</f>
        <v>31161</v>
      </c>
      <c r="H15">
        <f>Consolidé!H24</f>
        <v>32466</v>
      </c>
      <c r="I15">
        <f>Consolidé!I24</f>
        <v>34174</v>
      </c>
      <c r="J15">
        <f>Consolidé!J24</f>
        <v>35602</v>
      </c>
      <c r="K15">
        <f>Consolidé!K24</f>
        <v>36793</v>
      </c>
      <c r="L15">
        <f>Consolidé!L24</f>
        <v>37501</v>
      </c>
      <c r="M15">
        <f>Consolidé!M24</f>
        <v>38735</v>
      </c>
      <c r="N15">
        <f>Consolidé!N24</f>
        <v>40176</v>
      </c>
      <c r="O15">
        <f>Consolidé!O24</f>
        <v>41522</v>
      </c>
    </row>
    <row r="16" spans="1:15" x14ac:dyDescent="0.2">
      <c r="A16" t="s">
        <v>72</v>
      </c>
      <c r="B16">
        <f>Consolidé!B25</f>
        <v>13139</v>
      </c>
      <c r="C16">
        <f>Consolidé!C25</f>
        <v>13526</v>
      </c>
      <c r="D16">
        <f>Consolidé!D25</f>
        <v>14572</v>
      </c>
      <c r="E16">
        <f>Consolidé!E25</f>
        <v>14809</v>
      </c>
      <c r="F16">
        <f>Consolidé!F25</f>
        <v>17869</v>
      </c>
      <c r="G16">
        <f>Consolidé!G25</f>
        <v>18578</v>
      </c>
      <c r="H16">
        <f>Consolidé!H25</f>
        <v>19270</v>
      </c>
      <c r="I16">
        <f>Consolidé!I25</f>
        <v>19528</v>
      </c>
      <c r="J16">
        <f>Consolidé!J25</f>
        <v>20620</v>
      </c>
      <c r="K16">
        <f>Consolidé!K25</f>
        <v>20905</v>
      </c>
      <c r="L16">
        <f>Consolidé!L25</f>
        <v>20997</v>
      </c>
      <c r="M16">
        <f>Consolidé!M25</f>
        <v>21646</v>
      </c>
      <c r="N16">
        <f>Consolidé!N25</f>
        <v>22780</v>
      </c>
      <c r="O16">
        <f>Consolidé!O25</f>
        <v>23887</v>
      </c>
    </row>
    <row r="17" spans="1:15" x14ac:dyDescent="0.2">
      <c r="A17" t="s">
        <v>73</v>
      </c>
      <c r="B17">
        <f>Consolidé!B26</f>
        <v>7896</v>
      </c>
      <c r="C17">
        <f>Consolidé!C26</f>
        <v>8455</v>
      </c>
      <c r="D17">
        <f>Consolidé!D26</f>
        <v>9496</v>
      </c>
      <c r="E17">
        <f>Consolidé!E26</f>
        <v>10087</v>
      </c>
      <c r="F17">
        <f>Consolidé!F26</f>
        <v>10477</v>
      </c>
      <c r="G17">
        <f>Consolidé!G26</f>
        <v>11374</v>
      </c>
      <c r="H17">
        <f>Consolidé!H26</f>
        <v>11606</v>
      </c>
      <c r="I17">
        <f>Consolidé!I26</f>
        <v>11316</v>
      </c>
      <c r="J17">
        <f>Consolidé!J26</f>
        <v>11859</v>
      </c>
      <c r="K17">
        <f>Consolidé!K26</f>
        <v>11458</v>
      </c>
      <c r="L17">
        <f>Consolidé!L26</f>
        <v>11697</v>
      </c>
      <c r="M17">
        <f>Consolidé!M26</f>
        <v>12315</v>
      </c>
      <c r="N17">
        <f>Consolidé!N26</f>
        <v>14438</v>
      </c>
      <c r="O17">
        <f>Consolidé!O26</f>
        <v>14730</v>
      </c>
    </row>
    <row r="18" spans="1:15" x14ac:dyDescent="0.2">
      <c r="A18" t="s">
        <v>74</v>
      </c>
      <c r="B18">
        <f>Consolidé!B27</f>
        <v>7690</v>
      </c>
      <c r="C18">
        <f>Consolidé!C27</f>
        <v>8030</v>
      </c>
      <c r="D18">
        <f>Consolidé!D27</f>
        <v>8166</v>
      </c>
      <c r="E18">
        <f>Consolidé!E27</f>
        <v>8301</v>
      </c>
      <c r="F18">
        <f>Consolidé!F27</f>
        <v>8775</v>
      </c>
      <c r="G18">
        <f>Consolidé!G27</f>
        <v>8932</v>
      </c>
      <c r="H18">
        <f>Consolidé!H27</f>
        <v>9146</v>
      </c>
      <c r="I18">
        <f>Consolidé!I27</f>
        <v>9269</v>
      </c>
      <c r="J18">
        <f>Consolidé!J27</f>
        <v>9543</v>
      </c>
      <c r="K18">
        <f>Consolidé!K27</f>
        <v>9647</v>
      </c>
      <c r="L18">
        <f>Consolidé!L27</f>
        <v>9589</v>
      </c>
      <c r="M18">
        <f>Consolidé!M27</f>
        <v>9562</v>
      </c>
      <c r="N18">
        <f>Consolidé!N27</f>
        <v>9816</v>
      </c>
      <c r="O18">
        <f>Consolidé!O27</f>
        <v>10095</v>
      </c>
    </row>
    <row r="19" spans="1:15" x14ac:dyDescent="0.2">
      <c r="A19" t="s">
        <v>75</v>
      </c>
      <c r="B19">
        <f>Consolidé!B28</f>
        <v>5379</v>
      </c>
      <c r="C19">
        <f>Consolidé!C28</f>
        <v>5657</v>
      </c>
      <c r="D19">
        <f>Consolidé!D28</f>
        <v>5592</v>
      </c>
      <c r="E19">
        <f>Consolidé!E28</f>
        <v>6201</v>
      </c>
      <c r="F19">
        <f>Consolidé!F28</f>
        <v>6611</v>
      </c>
      <c r="G19">
        <f>Consolidé!G28</f>
        <v>6292</v>
      </c>
      <c r="H19">
        <f>Consolidé!H28</f>
        <v>6287</v>
      </c>
      <c r="I19">
        <f>Consolidé!I28</f>
        <v>6386</v>
      </c>
      <c r="J19">
        <f>Consolidé!J28</f>
        <v>6712</v>
      </c>
      <c r="K19">
        <f>Consolidé!K28</f>
        <v>6728</v>
      </c>
      <c r="L19">
        <f>Consolidé!L28</f>
        <v>6686</v>
      </c>
      <c r="M19">
        <f>Consolidé!M28</f>
        <v>6737</v>
      </c>
      <c r="N19">
        <f>Consolidé!N28</f>
        <v>7039</v>
      </c>
      <c r="O19">
        <f>Consolidé!O28</f>
        <v>7510</v>
      </c>
    </row>
    <row r="20" spans="1:15" x14ac:dyDescent="0.2">
      <c r="A20" t="s">
        <v>76</v>
      </c>
      <c r="B20">
        <f>Consolidé!B30</f>
        <v>7559</v>
      </c>
      <c r="C20">
        <f>Consolidé!C30</f>
        <v>7894</v>
      </c>
      <c r="D20">
        <f>Consolidé!D30</f>
        <v>8064</v>
      </c>
      <c r="E20">
        <f>Consolidé!E30</f>
        <v>8131</v>
      </c>
      <c r="F20">
        <f>Consolidé!F30</f>
        <v>7844</v>
      </c>
      <c r="G20">
        <f>Consolidé!G30</f>
        <v>8935</v>
      </c>
      <c r="H20">
        <f>Consolidé!H30</f>
        <v>9451</v>
      </c>
      <c r="I20">
        <f>Consolidé!I30</f>
        <v>9839</v>
      </c>
      <c r="J20">
        <f>Consolidé!J30</f>
        <v>10598</v>
      </c>
      <c r="K20">
        <f>Consolidé!K30</f>
        <v>10270</v>
      </c>
      <c r="L20">
        <f>Consolidé!L30</f>
        <v>10009</v>
      </c>
      <c r="M20">
        <f>Consolidé!M30</f>
        <v>9527</v>
      </c>
      <c r="N20">
        <f>Consolidé!N30</f>
        <v>9240</v>
      </c>
      <c r="O20">
        <f>Consolidé!O30</f>
        <v>8722</v>
      </c>
    </row>
    <row r="21" spans="1:15" x14ac:dyDescent="0.2">
      <c r="A21" t="s">
        <v>91</v>
      </c>
      <c r="B21">
        <f>Consolidé!B35</f>
        <v>0</v>
      </c>
      <c r="C21">
        <f>Consolidé!C35</f>
        <v>0</v>
      </c>
      <c r="D21">
        <f>Consolidé!D35</f>
        <v>584</v>
      </c>
      <c r="E21">
        <f>Consolidé!E35</f>
        <v>1233</v>
      </c>
      <c r="F21">
        <f>Consolidé!F35</f>
        <v>1952</v>
      </c>
      <c r="G21">
        <f>Consolidé!G35</f>
        <v>2677</v>
      </c>
      <c r="H21">
        <f>Consolidé!H35</f>
        <v>3437</v>
      </c>
      <c r="I21">
        <f>Consolidé!I35</f>
        <v>4277</v>
      </c>
      <c r="J21">
        <f>Consolidé!J35</f>
        <v>5238</v>
      </c>
      <c r="K21">
        <f>Consolidé!K35</f>
        <v>5659</v>
      </c>
      <c r="L21">
        <f>Consolidé!L35</f>
        <v>6938</v>
      </c>
      <c r="M21">
        <f>Consolidé!M35</f>
        <v>8522</v>
      </c>
      <c r="N21">
        <f>Consolidé!N35</f>
        <v>10523</v>
      </c>
      <c r="O21">
        <f>Consolidé!O35</f>
        <v>12816</v>
      </c>
    </row>
    <row r="22" spans="1:15" x14ac:dyDescent="0.2">
      <c r="A22" t="s">
        <v>92</v>
      </c>
      <c r="B22">
        <f>Consolidé!B37</f>
        <v>0</v>
      </c>
      <c r="C22">
        <f>Consolidé!C37</f>
        <v>581</v>
      </c>
      <c r="D22">
        <f>Consolidé!D37</f>
        <v>413</v>
      </c>
      <c r="E22">
        <f>Consolidé!E37</f>
        <v>637</v>
      </c>
      <c r="F22">
        <f>Consolidé!F37</f>
        <v>665</v>
      </c>
      <c r="G22">
        <f>Consolidé!G37</f>
        <v>666</v>
      </c>
      <c r="H22">
        <f>Consolidé!H37</f>
        <v>691</v>
      </c>
      <c r="I22">
        <f>Consolidé!I37</f>
        <v>729</v>
      </c>
      <c r="J22">
        <f>Consolidé!J37</f>
        <v>782</v>
      </c>
      <c r="K22">
        <f>Consolidé!K37</f>
        <v>964</v>
      </c>
      <c r="L22">
        <f>Consolidé!L37</f>
        <v>1155</v>
      </c>
      <c r="M22">
        <f>Consolidé!M37</f>
        <v>1579</v>
      </c>
      <c r="N22">
        <f>Consolidé!N37</f>
        <v>1881</v>
      </c>
      <c r="O22">
        <f>Consolidé!O37</f>
        <v>2083</v>
      </c>
    </row>
    <row r="23" spans="1:15" x14ac:dyDescent="0.2">
      <c r="A23" t="s">
        <v>93</v>
      </c>
      <c r="B23">
        <f>Consolidé!B38</f>
        <v>0</v>
      </c>
      <c r="C23">
        <f>Consolidé!C38</f>
        <v>3</v>
      </c>
      <c r="D23">
        <f>Consolidé!D38</f>
        <v>36</v>
      </c>
      <c r="E23">
        <f>Consolidé!E38</f>
        <v>-50</v>
      </c>
      <c r="F23">
        <f>Consolidé!F38</f>
        <v>60</v>
      </c>
      <c r="G23">
        <f>Consolidé!G38</f>
        <v>94</v>
      </c>
      <c r="H23">
        <f>Consolidé!H38</f>
        <v>149</v>
      </c>
      <c r="I23">
        <f>Consolidé!I38</f>
        <v>232</v>
      </c>
      <c r="J23">
        <f>Consolidé!J38</f>
        <v>339</v>
      </c>
      <c r="K23">
        <f>Consolidé!K38</f>
        <v>315</v>
      </c>
      <c r="L23">
        <f>Consolidé!L38</f>
        <v>298</v>
      </c>
      <c r="M23">
        <f>Consolidé!M38</f>
        <v>422</v>
      </c>
      <c r="N23">
        <f>Consolidé!N38</f>
        <v>412</v>
      </c>
      <c r="O23">
        <f>Consolidé!O38</f>
        <v>1394</v>
      </c>
    </row>
    <row r="24" spans="1:15" x14ac:dyDescent="0.2">
      <c r="A24" t="s">
        <v>94</v>
      </c>
      <c r="B24">
        <f>Consolidé!B42</f>
        <v>0</v>
      </c>
      <c r="C24">
        <f>Consolidé!C42</f>
        <v>0</v>
      </c>
      <c r="D24">
        <f>Consolidé!D42</f>
        <v>0</v>
      </c>
      <c r="E24">
        <f>Consolidé!E42</f>
        <v>0</v>
      </c>
      <c r="F24">
        <f>Consolidé!F42</f>
        <v>0</v>
      </c>
      <c r="G24">
        <f>Consolidé!G42</f>
        <v>0</v>
      </c>
      <c r="H24">
        <f>Consolidé!H42</f>
        <v>0</v>
      </c>
      <c r="I24">
        <f>Consolidé!I42</f>
        <v>0</v>
      </c>
      <c r="J24">
        <f>Consolidé!J42</f>
        <v>1000</v>
      </c>
      <c r="K24">
        <f>Consolidé!K42</f>
        <v>0</v>
      </c>
      <c r="L24">
        <f>Consolidé!L42</f>
        <v>0</v>
      </c>
      <c r="M24">
        <f>Consolidé!M42</f>
        <v>0</v>
      </c>
      <c r="N24">
        <f>Consolidé!N42</f>
        <v>0</v>
      </c>
      <c r="O24">
        <f>Consolidé!O42</f>
        <v>8000</v>
      </c>
    </row>
    <row r="25" spans="1:15" x14ac:dyDescent="0.2">
      <c r="A25" t="s">
        <v>95</v>
      </c>
      <c r="B25">
        <f>Consolidé!B44</f>
        <v>0</v>
      </c>
      <c r="C25">
        <f>Consolidé!C44</f>
        <v>584</v>
      </c>
      <c r="D25">
        <f>Consolidé!D44</f>
        <v>1233</v>
      </c>
      <c r="E25">
        <f>Consolidé!E44</f>
        <v>1952</v>
      </c>
      <c r="F25">
        <f>Consolidé!F44</f>
        <v>2677</v>
      </c>
      <c r="G25">
        <f>Consolidé!G44</f>
        <v>3437</v>
      </c>
      <c r="H25">
        <f>Consolidé!H44</f>
        <v>4277</v>
      </c>
      <c r="I25">
        <f>Consolidé!I44</f>
        <v>5238</v>
      </c>
      <c r="J25">
        <f>Consolidé!J44</f>
        <v>5659</v>
      </c>
      <c r="K25">
        <f>Consolidé!K44</f>
        <v>6938</v>
      </c>
      <c r="L25">
        <f>Consolidé!L44</f>
        <v>8522</v>
      </c>
      <c r="M25">
        <f>Consolidé!M44</f>
        <v>10523</v>
      </c>
      <c r="N25">
        <f>Consolidé!N44</f>
        <v>12816</v>
      </c>
      <c r="O25">
        <f>Consolidé!O44</f>
        <v>8293</v>
      </c>
    </row>
    <row r="26" spans="1:15" x14ac:dyDescent="0.2">
      <c r="A26" t="s">
        <v>105</v>
      </c>
      <c r="B26">
        <f>Consolidé!B46</f>
        <v>0</v>
      </c>
      <c r="C26">
        <f>Consolidé!C46</f>
        <v>0</v>
      </c>
      <c r="D26">
        <f>Consolidé!D46</f>
        <v>0</v>
      </c>
      <c r="E26">
        <f>Consolidé!E46</f>
        <v>2301</v>
      </c>
      <c r="F26">
        <f>Consolidé!F46</f>
        <v>433</v>
      </c>
      <c r="G26">
        <f>Consolidé!G46</f>
        <v>0</v>
      </c>
      <c r="H26">
        <f>Consolidé!H46</f>
        <v>0</v>
      </c>
      <c r="I26">
        <f>Consolidé!I46</f>
        <v>0</v>
      </c>
      <c r="J26">
        <f>Consolidé!J46</f>
        <v>0</v>
      </c>
      <c r="K26">
        <f>Consolidé!K46</f>
        <v>0</v>
      </c>
      <c r="L26">
        <f>Consolidé!L46</f>
        <v>0</v>
      </c>
      <c r="M26">
        <f>Consolidé!M46</f>
        <v>2191</v>
      </c>
      <c r="N26">
        <f>Consolidé!N46</f>
        <v>4552</v>
      </c>
      <c r="O26">
        <f>Consolidé!O46</f>
        <v>7174</v>
      </c>
    </row>
    <row r="27" spans="1:15" x14ac:dyDescent="0.2">
      <c r="A27" t="s">
        <v>96</v>
      </c>
      <c r="B27">
        <f>Consolidé!B47</f>
        <v>0</v>
      </c>
      <c r="C27">
        <f>Consolidé!C47</f>
        <v>0</v>
      </c>
      <c r="D27">
        <f>Consolidé!D47</f>
        <v>0</v>
      </c>
      <c r="E27">
        <f>Consolidé!E47</f>
        <v>1845</v>
      </c>
      <c r="F27">
        <f>Consolidé!F47</f>
        <v>433</v>
      </c>
      <c r="G27">
        <f>Consolidé!G47</f>
        <v>0</v>
      </c>
      <c r="H27">
        <f>Consolidé!H47</f>
        <v>0</v>
      </c>
      <c r="I27">
        <f>Consolidé!I47</f>
        <v>0</v>
      </c>
      <c r="J27">
        <f>Consolidé!J47</f>
        <v>0</v>
      </c>
      <c r="K27">
        <f>Consolidé!K47</f>
        <v>0</v>
      </c>
      <c r="L27">
        <f>Consolidé!L47</f>
        <v>0</v>
      </c>
      <c r="M27">
        <f>Consolidé!M47</f>
        <v>0</v>
      </c>
      <c r="N27">
        <f>Consolidé!N47</f>
        <v>0</v>
      </c>
      <c r="O27">
        <f>Consolidé!O47</f>
        <v>0</v>
      </c>
    </row>
    <row r="28" spans="1:15" x14ac:dyDescent="0.2">
      <c r="A28" t="s">
        <v>77</v>
      </c>
      <c r="B28">
        <f>Consolidé!B48</f>
        <v>0</v>
      </c>
      <c r="C28">
        <f>Consolidé!C48</f>
        <v>0</v>
      </c>
      <c r="D28">
        <f>Consolidé!D48</f>
        <v>0</v>
      </c>
      <c r="E28">
        <f>Consolidé!E48</f>
        <v>0</v>
      </c>
      <c r="F28">
        <f>Consolidé!F48</f>
        <v>-3174</v>
      </c>
      <c r="G28">
        <f>Consolidé!G48</f>
        <v>-3150</v>
      </c>
      <c r="H28">
        <f>Consolidé!H48</f>
        <v>-2628</v>
      </c>
      <c r="I28">
        <f>Consolidé!I48</f>
        <v>-1600</v>
      </c>
      <c r="J28">
        <f>Consolidé!J48</f>
        <v>-2824</v>
      </c>
      <c r="K28">
        <f>Consolidé!K48</f>
        <v>-1143</v>
      </c>
      <c r="L28">
        <f>Consolidé!L48</f>
        <v>2191</v>
      </c>
      <c r="M28">
        <f>Consolidé!M48</f>
        <v>2361</v>
      </c>
      <c r="N28">
        <f>Consolidé!N48</f>
        <v>2622</v>
      </c>
      <c r="O28">
        <f>Consolidé!O48</f>
        <v>4803</v>
      </c>
    </row>
    <row r="29" spans="1:15" x14ac:dyDescent="0.2">
      <c r="A29" t="s">
        <v>97</v>
      </c>
      <c r="B29">
        <f>Consolidé!B49</f>
        <v>0</v>
      </c>
      <c r="C29">
        <f>Consolidé!C49</f>
        <v>0</v>
      </c>
      <c r="D29">
        <f>Consolidé!D49</f>
        <v>0</v>
      </c>
      <c r="E29">
        <f>Consolidé!E49</f>
        <v>-23</v>
      </c>
      <c r="F29">
        <f>Consolidé!F49</f>
        <v>0</v>
      </c>
      <c r="G29">
        <f>Consolidé!G49</f>
        <v>0</v>
      </c>
      <c r="H29">
        <f>Consolidé!H49</f>
        <v>0</v>
      </c>
      <c r="I29">
        <f>Consolidé!I49</f>
        <v>0</v>
      </c>
      <c r="J29">
        <f>Consolidé!J49</f>
        <v>0</v>
      </c>
      <c r="K29">
        <f>Consolidé!K49</f>
        <v>0</v>
      </c>
      <c r="L29">
        <f>Consolidé!L49</f>
        <v>2191</v>
      </c>
      <c r="M29">
        <f>Consolidé!M49</f>
        <v>2361</v>
      </c>
      <c r="N29">
        <f>Consolidé!N49</f>
        <v>2622</v>
      </c>
      <c r="O29">
        <f>Consolidé!O49</f>
        <v>4803</v>
      </c>
    </row>
    <row r="30" spans="1:15" x14ac:dyDescent="0.2">
      <c r="A30" t="s">
        <v>98</v>
      </c>
      <c r="B30">
        <f>Consolidé!B50</f>
        <v>950</v>
      </c>
      <c r="C30">
        <f>Consolidé!C50</f>
        <v>1300</v>
      </c>
      <c r="D30">
        <f>Consolidé!D50</f>
        <v>1817</v>
      </c>
      <c r="E30">
        <f>Consolidé!E50</f>
        <v>433</v>
      </c>
      <c r="F30">
        <f>Consolidé!F50</f>
        <v>0</v>
      </c>
      <c r="G30">
        <f>Consolidé!G50</f>
        <v>0</v>
      </c>
      <c r="H30">
        <f>Consolidé!H50</f>
        <v>0</v>
      </c>
      <c r="I30">
        <f>Consolidé!I50</f>
        <v>0</v>
      </c>
      <c r="J30">
        <f>Consolidé!J50</f>
        <v>0</v>
      </c>
      <c r="K30">
        <f>Consolidé!K50</f>
        <v>0</v>
      </c>
      <c r="L30">
        <f>Consolidé!L50</f>
        <v>2191</v>
      </c>
      <c r="M30">
        <f>Consolidé!M50</f>
        <v>4552</v>
      </c>
      <c r="N30">
        <f>Consolidé!N50</f>
        <v>7174</v>
      </c>
      <c r="O30">
        <f>Consolidé!O50</f>
        <v>11977</v>
      </c>
    </row>
    <row r="31" spans="1:15" x14ac:dyDescent="0.2">
      <c r="A31" t="s">
        <v>99</v>
      </c>
      <c r="B31">
        <f>Consolidé!B52</f>
        <v>89508</v>
      </c>
      <c r="C31">
        <f>Consolidé!C52</f>
        <v>92011</v>
      </c>
      <c r="D31">
        <f>Consolidé!D52</f>
        <v>116537</v>
      </c>
      <c r="E31">
        <f>Consolidé!E52</f>
        <v>120527</v>
      </c>
      <c r="F31">
        <f>Consolidé!F52</f>
        <v>133224</v>
      </c>
      <c r="G31">
        <f>Consolidé!G52</f>
        <v>141054</v>
      </c>
      <c r="H31">
        <f>Consolidé!H52</f>
        <v>153629</v>
      </c>
      <c r="I31">
        <f>Consolidé!I52</f>
        <v>164686</v>
      </c>
      <c r="J31">
        <f>Consolidé!J52</f>
        <v>173576</v>
      </c>
      <c r="K31">
        <f>Consolidé!K52</f>
        <v>181032</v>
      </c>
      <c r="L31">
        <f>Consolidé!L52</f>
        <v>192750</v>
      </c>
      <c r="M31">
        <f>Consolidé!M52</f>
        <v>193945</v>
      </c>
      <c r="N31">
        <f>Consolidé!N52</f>
        <v>197556</v>
      </c>
      <c r="O31">
        <f>Consolidé!O52</f>
        <v>201949</v>
      </c>
    </row>
    <row r="32" spans="1:15" x14ac:dyDescent="0.2">
      <c r="A32" t="s">
        <v>100</v>
      </c>
      <c r="B32">
        <f>Consolidé!B53</f>
        <v>6492</v>
      </c>
      <c r="C32">
        <f>Consolidé!C53</f>
        <v>27068</v>
      </c>
      <c r="D32">
        <f>Consolidé!D53</f>
        <v>8631</v>
      </c>
      <c r="E32">
        <f>Consolidé!E53</f>
        <v>17671</v>
      </c>
      <c r="F32">
        <f>Consolidé!F53</f>
        <v>13424</v>
      </c>
      <c r="G32">
        <f>Consolidé!G53</f>
        <v>18482</v>
      </c>
      <c r="H32">
        <f>Consolidé!H53</f>
        <v>14824</v>
      </c>
      <c r="I32">
        <f>Consolidé!I53</f>
        <v>16351</v>
      </c>
      <c r="J32">
        <f>Consolidé!J53</f>
        <v>19284</v>
      </c>
      <c r="K32">
        <f>Consolidé!K53</f>
        <v>23894</v>
      </c>
      <c r="L32">
        <f>Consolidé!L53</f>
        <v>16820</v>
      </c>
      <c r="M32">
        <f>Consolidé!M53</f>
        <v>21277</v>
      </c>
      <c r="N32">
        <f>Consolidé!N53</f>
        <v>24662</v>
      </c>
      <c r="O32">
        <f>Consolidé!O53</f>
        <v>22971</v>
      </c>
    </row>
    <row r="33" spans="1:15" x14ac:dyDescent="0.2">
      <c r="A33" t="s">
        <v>101</v>
      </c>
      <c r="B33">
        <f>Consolidé!B54</f>
        <v>0</v>
      </c>
      <c r="C33">
        <f>Consolidé!C54</f>
        <v>0</v>
      </c>
      <c r="D33">
        <f>Consolidé!D54</f>
        <v>0</v>
      </c>
      <c r="E33">
        <f>Consolidé!E54</f>
        <v>0</v>
      </c>
      <c r="F33">
        <f>Consolidé!F54</f>
        <v>0</v>
      </c>
      <c r="G33">
        <f>Consolidé!G54</f>
        <v>0</v>
      </c>
      <c r="H33">
        <f>Consolidé!H54</f>
        <v>0</v>
      </c>
      <c r="I33">
        <f>Consolidé!I54</f>
        <v>0</v>
      </c>
      <c r="J33">
        <f>Consolidé!J54</f>
        <v>1000</v>
      </c>
      <c r="K33">
        <f>Consolidé!K54</f>
        <v>0</v>
      </c>
      <c r="L33">
        <f>Consolidé!L54</f>
        <v>0</v>
      </c>
      <c r="M33">
        <f>Consolidé!M54</f>
        <v>0</v>
      </c>
      <c r="N33">
        <f>Consolidé!N54</f>
        <v>0</v>
      </c>
      <c r="O33">
        <f>Consolidé!O54</f>
        <v>8000</v>
      </c>
    </row>
    <row r="34" spans="1:15" x14ac:dyDescent="0.2">
      <c r="A34" t="s">
        <v>102</v>
      </c>
      <c r="B34">
        <f>Consolidé!B56</f>
        <v>3989</v>
      </c>
      <c r="C34">
        <f>Consolidé!C56</f>
        <v>4394</v>
      </c>
      <c r="D34">
        <f>Consolidé!D56</f>
        <v>4641</v>
      </c>
      <c r="E34">
        <f>Consolidé!E56</f>
        <v>4974</v>
      </c>
      <c r="F34">
        <f>Consolidé!F56</f>
        <v>5594</v>
      </c>
      <c r="G34">
        <f>Consolidé!G56</f>
        <v>5907</v>
      </c>
      <c r="H34">
        <f>Consolidé!H56</f>
        <v>6408</v>
      </c>
      <c r="I34">
        <f>Consolidé!I56</f>
        <v>10683</v>
      </c>
      <c r="J34">
        <f>Consolidé!J56</f>
        <v>14737</v>
      </c>
      <c r="K34">
        <f>Consolidé!K56</f>
        <v>15980</v>
      </c>
      <c r="L34">
        <f>Consolidé!L56</f>
        <v>19852</v>
      </c>
      <c r="M34">
        <f>Consolidé!M56</f>
        <v>22019</v>
      </c>
      <c r="N34">
        <f>Consolidé!N56</f>
        <v>24428</v>
      </c>
      <c r="O34">
        <f>Consolidé!O56</f>
        <v>25831</v>
      </c>
    </row>
    <row r="35" spans="1:15" x14ac:dyDescent="0.2">
      <c r="A35" t="s">
        <v>78</v>
      </c>
      <c r="B35">
        <f>Consolidé!B57</f>
        <v>0</v>
      </c>
      <c r="C35">
        <f>Consolidé!C57</f>
        <v>0</v>
      </c>
      <c r="D35">
        <f>Consolidé!D57</f>
        <v>0</v>
      </c>
      <c r="E35">
        <f>Consolidé!E57</f>
        <v>0</v>
      </c>
      <c r="F35">
        <f>Consolidé!F57</f>
        <v>0</v>
      </c>
      <c r="G35">
        <f>Consolidé!G57</f>
        <v>0</v>
      </c>
      <c r="H35">
        <f>Consolidé!H57</f>
        <v>2641</v>
      </c>
      <c r="I35">
        <f>Consolidé!I57</f>
        <v>3226</v>
      </c>
      <c r="J35">
        <f>Consolidé!J57</f>
        <v>3909</v>
      </c>
      <c r="K35">
        <f>Consolidé!K57</f>
        <v>3804</v>
      </c>
      <c r="L35">
        <f>Consolidé!L57</f>
        <v>4227</v>
      </c>
      <c r="M35">
        <f>Consolidé!M57</f>
        <v>4353</v>
      </c>
      <c r="N35">
        <f>Consolidé!N57</f>
        <v>4159</v>
      </c>
      <c r="O35">
        <f>Consolidé!O57</f>
        <v>4099</v>
      </c>
    </row>
    <row r="36" spans="1:15" x14ac:dyDescent="0.2">
      <c r="A36" t="s">
        <v>103</v>
      </c>
      <c r="B36">
        <f>Consolidé!B58</f>
        <v>92011</v>
      </c>
      <c r="C36">
        <f>Consolidé!C58</f>
        <v>114685</v>
      </c>
      <c r="D36">
        <f>Consolidé!D58</f>
        <v>120527</v>
      </c>
      <c r="E36">
        <f>Consolidé!E58</f>
        <v>133224</v>
      </c>
      <c r="F36">
        <f>Consolidé!F58</f>
        <v>141054</v>
      </c>
      <c r="G36">
        <f>Consolidé!G58</f>
        <v>153629</v>
      </c>
      <c r="H36">
        <f>Consolidé!H58</f>
        <v>164686</v>
      </c>
      <c r="I36">
        <f>Consolidé!I58</f>
        <v>173580</v>
      </c>
      <c r="J36">
        <f>Consolidé!J58</f>
        <v>181032</v>
      </c>
      <c r="K36">
        <f>Consolidé!K58</f>
        <v>192750</v>
      </c>
      <c r="L36">
        <f>Consolidé!L58</f>
        <v>193945</v>
      </c>
      <c r="M36">
        <f>Consolidé!M58</f>
        <v>197556</v>
      </c>
      <c r="N36">
        <f>Consolidé!N58</f>
        <v>201949</v>
      </c>
      <c r="O36">
        <f>Consolidé!O58</f>
        <v>195188</v>
      </c>
    </row>
    <row r="37" spans="1:15" x14ac:dyDescent="0.2">
      <c r="A37" t="s">
        <v>104</v>
      </c>
      <c r="B37">
        <f>Consolidé!B63</f>
        <v>37182</v>
      </c>
      <c r="C37">
        <f>Consolidé!C63</f>
        <v>33596</v>
      </c>
      <c r="D37">
        <f>Consolidé!D63</f>
        <v>31159</v>
      </c>
      <c r="E37">
        <f>Consolidé!E63</f>
        <v>28708</v>
      </c>
      <c r="F37">
        <f>Consolidé!F63</f>
        <v>29921</v>
      </c>
      <c r="G37">
        <f>Consolidé!G63</f>
        <v>29125</v>
      </c>
      <c r="H37">
        <f>Consolidé!H63</f>
        <v>28774</v>
      </c>
      <c r="I37">
        <f>Consolidé!I63</f>
        <v>28378</v>
      </c>
      <c r="J37">
        <f>Consolidé!J63</f>
        <v>28672</v>
      </c>
      <c r="K37">
        <f>Consolidé!K63</f>
        <v>28172</v>
      </c>
      <c r="L37">
        <f>Consolidé!L63</f>
        <v>26745</v>
      </c>
      <c r="M37">
        <f>Consolidé!M63</f>
        <v>24647</v>
      </c>
      <c r="N37">
        <f>Consolidé!N63</f>
        <v>21903</v>
      </c>
      <c r="O37">
        <f>Consolidé!O63</f>
        <v>18362</v>
      </c>
    </row>
    <row r="38" spans="1:15" x14ac:dyDescent="0.2">
      <c r="A38" t="s">
        <v>79</v>
      </c>
      <c r="B38">
        <f>Consolidé!B66</f>
        <v>3429</v>
      </c>
      <c r="C38">
        <f>Consolidé!C66</f>
        <v>6100</v>
      </c>
      <c r="D38">
        <f>Consolidé!D66</f>
        <v>2438</v>
      </c>
      <c r="E38">
        <f>Consolidé!E66</f>
        <v>0</v>
      </c>
      <c r="F38">
        <f>Consolidé!F66</f>
        <v>4980</v>
      </c>
      <c r="G38">
        <f>Consolidé!G66</f>
        <v>5881</v>
      </c>
      <c r="H38">
        <f>Consolidé!H66</f>
        <v>5799</v>
      </c>
      <c r="I38">
        <f>Consolidé!I66</f>
        <v>4964</v>
      </c>
      <c r="J38">
        <f>Consolidé!J66</f>
        <v>6947</v>
      </c>
      <c r="K38">
        <f>Consolidé!K66</f>
        <v>10027</v>
      </c>
      <c r="L38">
        <f>Consolidé!L66</f>
        <v>8821</v>
      </c>
      <c r="M38">
        <f>Consolidé!M66</f>
        <v>8190</v>
      </c>
      <c r="N38">
        <f>Consolidé!N66</f>
        <v>9965</v>
      </c>
      <c r="O38">
        <f>Consolidé!O66</f>
        <v>6159</v>
      </c>
    </row>
    <row r="39" spans="1:15" x14ac:dyDescent="0.2">
      <c r="A39" t="s">
        <v>80</v>
      </c>
      <c r="B39">
        <f>Consolidé!B67</f>
        <v>125764</v>
      </c>
      <c r="C39">
        <f>Consolidé!C67</f>
        <v>141597</v>
      </c>
      <c r="D39">
        <f>Consolidé!D67</f>
        <v>148015</v>
      </c>
      <c r="E39">
        <f>Consolidé!E67</f>
        <v>159980</v>
      </c>
      <c r="F39">
        <f>Consolidé!F67</f>
        <v>163318</v>
      </c>
      <c r="G39">
        <f>Consolidé!G67</f>
        <v>173436</v>
      </c>
      <c r="H39">
        <f>Consolidé!H67</f>
        <v>183384</v>
      </c>
      <c r="I39">
        <f>Consolidé!I67</f>
        <v>191756</v>
      </c>
      <c r="J39">
        <f>Consolidé!J67</f>
        <v>197098</v>
      </c>
      <c r="K39">
        <f>Consolidé!K67</f>
        <v>203957</v>
      </c>
      <c r="L39">
        <f>Consolidé!L67</f>
        <v>203347</v>
      </c>
      <c r="M39">
        <f>Consolidé!M67</f>
        <v>203490</v>
      </c>
      <c r="N39">
        <f>Consolidé!N67</f>
        <v>201071</v>
      </c>
      <c r="O39">
        <f>Consolidé!O67</f>
        <v>199098</v>
      </c>
    </row>
    <row r="40" spans="1:15" x14ac:dyDescent="0.2">
      <c r="A40" t="s">
        <v>106</v>
      </c>
      <c r="B40">
        <v>291512</v>
      </c>
      <c r="C40">
        <v>306946</v>
      </c>
      <c r="D40">
        <v>315382</v>
      </c>
      <c r="E40">
        <v>315540</v>
      </c>
      <c r="F40">
        <v>329129</v>
      </c>
      <c r="G40">
        <v>345763</v>
      </c>
      <c r="H40">
        <v>355253</v>
      </c>
      <c r="I40">
        <v>365802</v>
      </c>
      <c r="J40">
        <v>376878</v>
      </c>
      <c r="K40">
        <v>387667</v>
      </c>
      <c r="L40">
        <v>399225</v>
      </c>
      <c r="M40">
        <v>419224</v>
      </c>
      <c r="N40">
        <v>439375</v>
      </c>
      <c r="O40">
        <v>458733</v>
      </c>
    </row>
    <row r="41" spans="1:15" x14ac:dyDescent="0.2">
      <c r="A41" t="s">
        <v>107</v>
      </c>
      <c r="B41">
        <v>1.9809453641291226E-2</v>
      </c>
      <c r="C41">
        <v>3.67308256582074E-2</v>
      </c>
      <c r="D41">
        <v>6.514607302461119E-3</v>
      </c>
      <c r="E41">
        <v>-5.6749522096309268E-3</v>
      </c>
      <c r="F41">
        <v>3.0345540049810257E-2</v>
      </c>
      <c r="G41">
        <v>1.9458405196099399E-2</v>
      </c>
      <c r="H41">
        <v>6.1831652554261074E-3</v>
      </c>
      <c r="I41">
        <v>2.2079499808879667E-2</v>
      </c>
      <c r="J41">
        <v>1.6085208994881282E-2</v>
      </c>
      <c r="K41">
        <v>1.7903840906094884E-2</v>
      </c>
      <c r="L41">
        <v>2.243500557368178E-2</v>
      </c>
      <c r="M41">
        <v>3.9337088343101248E-2</v>
      </c>
      <c r="N41">
        <v>3.1005819611783302E-2</v>
      </c>
      <c r="O41">
        <v>2.2653658094013096E-2</v>
      </c>
    </row>
    <row r="43" spans="1:15" x14ac:dyDescent="0.2">
      <c r="A43" s="22"/>
      <c r="B43" s="21"/>
      <c r="C43" s="21"/>
      <c r="D43" s="21"/>
      <c r="E43" s="21"/>
      <c r="F43" s="21"/>
      <c r="G43" s="21"/>
      <c r="H43" s="21"/>
      <c r="I43" s="21"/>
      <c r="J43" s="21"/>
      <c r="K43" s="21"/>
      <c r="L43" s="21"/>
      <c r="M43" s="21"/>
      <c r="N43" s="21"/>
      <c r="O43" s="21"/>
    </row>
  </sheetData>
  <pageMargins left="0.7" right="0.7" top="0.75" bottom="0.75" header="0.3" footer="0.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8"/>
  <sheetViews>
    <sheetView workbookViewId="0">
      <selection activeCell="E15" sqref="E15"/>
    </sheetView>
  </sheetViews>
  <sheetFormatPr baseColWidth="10" defaultRowHeight="16" x14ac:dyDescent="0.2"/>
  <cols>
    <col min="2" max="2" width="12.83203125" customWidth="1"/>
    <col min="3" max="3" width="14" customWidth="1"/>
  </cols>
  <sheetData>
    <row r="1" spans="1:3" x14ac:dyDescent="0.2">
      <c r="A1" t="s">
        <v>81</v>
      </c>
      <c r="B1" t="s">
        <v>82</v>
      </c>
      <c r="C1" t="s">
        <v>83</v>
      </c>
    </row>
    <row r="2" spans="1:3" x14ac:dyDescent="0.2">
      <c r="A2">
        <v>2006</v>
      </c>
      <c r="B2">
        <f>Consolidé!B$31</f>
        <v>5.3600000000000002E-2</v>
      </c>
      <c r="C2" s="19">
        <f>Consolidé!B$39</f>
        <v>0</v>
      </c>
    </row>
    <row r="3" spans="1:3" x14ac:dyDescent="0.2">
      <c r="A3">
        <v>2007</v>
      </c>
      <c r="B3">
        <f>Consolidé!C$31</f>
        <v>5.4699999999999999E-2</v>
      </c>
      <c r="C3" s="19">
        <f>Consolidé!C$39</f>
        <v>0</v>
      </c>
    </row>
    <row r="4" spans="1:3" x14ac:dyDescent="0.2">
      <c r="A4">
        <v>2008</v>
      </c>
      <c r="B4">
        <f>Consolidé!D$31</f>
        <v>5.04E-2</v>
      </c>
      <c r="C4" s="19">
        <f>Consolidé!D$39</f>
        <v>6.1643835616438353E-2</v>
      </c>
    </row>
    <row r="5" spans="1:3" x14ac:dyDescent="0.2">
      <c r="A5">
        <v>2009</v>
      </c>
      <c r="B5">
        <f>Consolidé!E$31</f>
        <v>4.1599999999999998E-2</v>
      </c>
      <c r="C5" s="19">
        <f>Consolidé!E$39</f>
        <v>-4.0551500405515001E-2</v>
      </c>
    </row>
    <row r="6" spans="1:3" x14ac:dyDescent="0.2">
      <c r="A6">
        <v>2010</v>
      </c>
      <c r="B6">
        <f>Consolidé!F$31</f>
        <v>3.9E-2</v>
      </c>
      <c r="C6" s="19">
        <f>Consolidé!F$39</f>
        <v>3.0737704918032786E-2</v>
      </c>
    </row>
    <row r="7" spans="1:3" x14ac:dyDescent="0.2">
      <c r="A7">
        <v>2011</v>
      </c>
      <c r="B7">
        <f>Consolidé!G$31</f>
        <v>4.3200000000000002E-2</v>
      </c>
      <c r="C7" s="19">
        <f>Consolidé!G$39</f>
        <v>3.5113933507657825E-2</v>
      </c>
    </row>
    <row r="8" spans="1:3" x14ac:dyDescent="0.2">
      <c r="A8">
        <v>2012</v>
      </c>
      <c r="B8">
        <f>Consolidé!H$31</f>
        <v>4.2200000000000001E-2</v>
      </c>
      <c r="C8" s="19">
        <f>Consolidé!H$39</f>
        <v>4.3351760256037243E-2</v>
      </c>
    </row>
    <row r="9" spans="1:3" x14ac:dyDescent="0.2">
      <c r="A9">
        <v>2013</v>
      </c>
      <c r="B9">
        <f>Consolidé!I$31</f>
        <v>0.04</v>
      </c>
      <c r="C9" s="19">
        <f>Consolidé!I$39</f>
        <v>5.4243628711713815E-2</v>
      </c>
    </row>
    <row r="10" spans="1:3" x14ac:dyDescent="0.2">
      <c r="A10">
        <v>2014</v>
      </c>
      <c r="B10">
        <f>Consolidé!J$31</f>
        <v>3.9100000000000003E-2</v>
      </c>
      <c r="C10" s="19">
        <f>Consolidé!J$39</f>
        <v>6.4719358533791529E-2</v>
      </c>
    </row>
    <row r="11" spans="1:3" x14ac:dyDescent="0.2">
      <c r="A11">
        <v>2015</v>
      </c>
      <c r="B11">
        <f>Consolidé!K$31</f>
        <v>3.73E-2</v>
      </c>
      <c r="C11" s="19">
        <f>Consolidé!K$39</f>
        <v>5.5663544795900334E-2</v>
      </c>
    </row>
    <row r="12" spans="1:3" x14ac:dyDescent="0.2">
      <c r="A12">
        <v>2016</v>
      </c>
      <c r="B12">
        <f>Consolidé!L$31</f>
        <v>3.6299999999999999E-2</v>
      </c>
      <c r="C12" s="19">
        <f>Consolidé!L$39</f>
        <v>4.295185932545402E-2</v>
      </c>
    </row>
    <row r="13" spans="1:3" x14ac:dyDescent="0.2">
      <c r="A13">
        <v>2017</v>
      </c>
      <c r="B13">
        <f>Consolidé!M$31</f>
        <v>3.5299999999999998E-2</v>
      </c>
      <c r="C13" s="19">
        <f>Consolidé!M$39</f>
        <v>4.9518892278807791E-2</v>
      </c>
    </row>
    <row r="14" spans="1:3" x14ac:dyDescent="0.2">
      <c r="A14">
        <v>2018</v>
      </c>
      <c r="B14">
        <f>Consolidé!N$31</f>
        <v>3.5400000000000001E-2</v>
      </c>
      <c r="C14" s="19">
        <f>Consolidé!N$39</f>
        <v>3.9152332984890244E-2</v>
      </c>
    </row>
    <row r="15" spans="1:3" x14ac:dyDescent="0.2">
      <c r="A15">
        <v>2019</v>
      </c>
      <c r="B15">
        <f>Consolidé!O$31</f>
        <v>3.5799999999999998E-2</v>
      </c>
      <c r="C15" s="19">
        <f>Consolidé!O$39</f>
        <v>0.10877028714107366</v>
      </c>
    </row>
    <row r="18" spans="3:3" x14ac:dyDescent="0.2">
      <c r="C18" s="19"/>
    </row>
  </sheetData>
  <pageMargins left="0.7" right="0.7" top="0.75" bottom="0.75" header="0.3" footer="0.3"/>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
  <sheetViews>
    <sheetView workbookViewId="0">
      <selection activeCell="D12" sqref="D12"/>
    </sheetView>
  </sheetViews>
  <sheetFormatPr baseColWidth="10" defaultRowHeight="16" x14ac:dyDescent="0.2"/>
  <sheetData>
    <row r="1" spans="1:2" x14ac:dyDescent="0.2">
      <c r="A1" t="s">
        <v>81</v>
      </c>
      <c r="B1" t="s">
        <v>85</v>
      </c>
    </row>
    <row r="2" spans="1:2" x14ac:dyDescent="0.2">
      <c r="A2">
        <v>2017</v>
      </c>
      <c r="B2">
        <v>1579</v>
      </c>
    </row>
    <row r="3" spans="1:2" x14ac:dyDescent="0.2">
      <c r="A3">
        <v>2018</v>
      </c>
      <c r="B3">
        <v>1881</v>
      </c>
    </row>
    <row r="4" spans="1:2" x14ac:dyDescent="0.2">
      <c r="A4">
        <v>2019</v>
      </c>
      <c r="B4">
        <v>2083</v>
      </c>
    </row>
    <row r="5" spans="1:2" x14ac:dyDescent="0.2">
      <c r="A5">
        <v>2020</v>
      </c>
      <c r="B5">
        <v>2174</v>
      </c>
    </row>
    <row r="6" spans="1:2" x14ac:dyDescent="0.2">
      <c r="A6">
        <v>2021</v>
      </c>
      <c r="B6">
        <v>2267</v>
      </c>
    </row>
    <row r="7" spans="1:2" x14ac:dyDescent="0.2">
      <c r="A7">
        <v>2022</v>
      </c>
      <c r="B7">
        <v>2437</v>
      </c>
    </row>
    <row r="8" spans="1:2" x14ac:dyDescent="0.2">
      <c r="A8">
        <v>2023</v>
      </c>
      <c r="B8">
        <v>2614</v>
      </c>
    </row>
    <row r="9" spans="1:2" x14ac:dyDescent="0.2">
      <c r="A9">
        <v>2024</v>
      </c>
      <c r="B9">
        <v>2775</v>
      </c>
    </row>
    <row r="10" spans="1:2" x14ac:dyDescent="0.2">
      <c r="A10">
        <v>2025</v>
      </c>
      <c r="B10">
        <v>2918</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Consolidé</vt:lpstr>
      <vt:lpstr>Inputs</vt:lpstr>
      <vt:lpstr>Returns</vt:lpstr>
      <vt:lpstr>GenFundContrib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pierre-carl michaud</dc:creator>
  <cp:lastModifiedBy>Microsoft Office User</cp:lastModifiedBy>
  <dcterms:created xsi:type="dcterms:W3CDTF">2020-04-21T11:58:00Z</dcterms:created>
  <dcterms:modified xsi:type="dcterms:W3CDTF">2020-05-27T19:40:54Z</dcterms:modified>
</cp:coreProperties>
</file>