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autoCompressPictures="0" defaultThemeVersion="166925"/>
  <mc:AlternateContent xmlns:mc="http://schemas.openxmlformats.org/markup-compatibility/2006">
    <mc:Choice Requires="x15">
      <x15ac:absPath xmlns:x15ac="http://schemas.microsoft.com/office/spreadsheetml/2010/11/ac" url="/Users/juliennavaux/Documents/simfin/inputs/"/>
    </mc:Choice>
  </mc:AlternateContent>
  <xr:revisionPtr revIDLastSave="0" documentId="13_ncr:1_{FD0560D5-2F22-2541-AC51-544F48745458}" xr6:coauthVersionLast="47" xr6:coauthVersionMax="47" xr10:uidLastSave="{00000000-0000-0000-0000-000000000000}"/>
  <bookViews>
    <workbookView xWindow="6460" yWindow="5140" windowWidth="35460" windowHeight="21840" xr2:uid="{00000000-000D-0000-FFFF-FFFF00000000}"/>
  </bookViews>
  <sheets>
    <sheet name="Consolidé" sheetId="1" r:id="rId1"/>
    <sheet name="COVID spending" sheetId="24" r:id="rId2"/>
    <sheet name="COVID spending (2)" sheetId="26" r:id="rId3"/>
    <sheet name="Inputs" sheetId="2" r:id="rId4"/>
    <sheet name="Returns" sheetId="3" r:id="rId5"/>
    <sheet name="debt_service" sheetId="16" r:id="rId6"/>
    <sheet name="debt_service_site_internet" sheetId="25" r:id="rId7"/>
    <sheet name="interest_debt" sheetId="15" r:id="rId8"/>
    <sheet name="gdp" sheetId="13" r:id="rId9"/>
    <sheet name="GenFundContrib" sheetId="4" r:id="rId10"/>
    <sheet name="pension_balance" sheetId="5" r:id="rId11"/>
    <sheet name="calculs_pension_balance" sheetId="21" r:id="rId12"/>
    <sheet name="investment" sheetId="8" r:id="rId13"/>
    <sheet name="pension_debt_service" sheetId="6" r:id="rId14"/>
    <sheet name="pension_hypo" sheetId="10" r:id="rId15"/>
    <sheet name="FARR_constant" sheetId="17" r:id="rId16"/>
    <sheet name="FARR_courant" sheetId="20" r:id="rId17"/>
    <sheet name="Actifs net hors dette, FDG, ret"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34" i="1" l="1"/>
  <c r="Q20" i="1"/>
  <c r="Q21" i="1" s="1"/>
  <c r="Q23" i="1" s="1"/>
  <c r="Q16" i="1"/>
  <c r="Q33" i="1"/>
  <c r="Q32" i="1"/>
  <c r="Q28" i="1"/>
  <c r="D3" i="24"/>
  <c r="Q22" i="1"/>
  <c r="Q23" i="16"/>
  <c r="D3" i="26"/>
  <c r="D6" i="24"/>
  <c r="D5" i="24"/>
  <c r="D4" i="24"/>
  <c r="D9" i="24"/>
  <c r="D26" i="26"/>
  <c r="D32" i="26"/>
  <c r="B31" i="26"/>
  <c r="G30" i="26"/>
  <c r="F30" i="26"/>
  <c r="F29" i="26"/>
  <c r="F28" i="26"/>
  <c r="H27" i="26"/>
  <c r="F27" i="26"/>
  <c r="H25" i="26"/>
  <c r="G25" i="26"/>
  <c r="E25" i="26"/>
  <c r="F24" i="26"/>
  <c r="G22" i="26"/>
  <c r="E21" i="26"/>
  <c r="F20" i="26"/>
  <c r="G19" i="26"/>
  <c r="G32" i="26" s="1"/>
  <c r="E19" i="26"/>
  <c r="F18" i="26"/>
  <c r="E17" i="26"/>
  <c r="E32" i="26" s="1"/>
  <c r="F16" i="26"/>
  <c r="H15" i="26"/>
  <c r="H32" i="26" s="1"/>
  <c r="F15" i="26"/>
  <c r="F32" i="26" s="1"/>
  <c r="B7" i="26"/>
  <c r="B6" i="26"/>
  <c r="B5" i="26"/>
  <c r="C4" i="26"/>
  <c r="B4" i="26"/>
  <c r="C9" i="26"/>
  <c r="B3" i="26"/>
  <c r="P34" i="1"/>
  <c r="Q27" i="1"/>
  <c r="Q26" i="1"/>
  <c r="Q25" i="1"/>
  <c r="F33" i="24"/>
  <c r="F32" i="24"/>
  <c r="P16" i="1"/>
  <c r="Q8" i="1"/>
  <c r="Q5" i="1"/>
  <c r="P5" i="1"/>
  <c r="R26" i="20"/>
  <c r="R23" i="20"/>
  <c r="R24" i="20"/>
  <c r="R25" i="20"/>
  <c r="Q26" i="20"/>
  <c r="Q25" i="20"/>
  <c r="Q24" i="20"/>
  <c r="Q23" i="20"/>
  <c r="E41" i="20"/>
  <c r="B66" i="20"/>
  <c r="J66" i="20" s="1"/>
  <c r="K71" i="17"/>
  <c r="P43" i="17"/>
  <c r="B68" i="17"/>
  <c r="K68" i="17"/>
  <c r="P41" i="17"/>
  <c r="B66" i="17"/>
  <c r="P40" i="17"/>
  <c r="B65" i="17"/>
  <c r="K65" i="17" s="1"/>
  <c r="E40" i="17"/>
  <c r="P37" i="17"/>
  <c r="K62" i="17"/>
  <c r="K69" i="17"/>
  <c r="Q72" i="1"/>
  <c r="Q67" i="1" s="1"/>
  <c r="P64" i="1"/>
  <c r="Q58" i="1" s="1"/>
  <c r="Q38" i="1" l="1"/>
  <c r="E3" i="26"/>
  <c r="I32" i="26"/>
  <c r="G33" i="26" s="1"/>
  <c r="D6" i="26" s="1"/>
  <c r="E6" i="26" s="1"/>
  <c r="B9" i="26"/>
  <c r="Q33" i="2"/>
  <c r="J65" i="17"/>
  <c r="Q64" i="1"/>
  <c r="E55" i="1"/>
  <c r="Q56" i="1"/>
  <c r="P41" i="20"/>
  <c r="I66" i="20"/>
  <c r="J61" i="20"/>
  <c r="O12" i="21"/>
  <c r="P11" i="21"/>
  <c r="O11" i="21"/>
  <c r="N11" i="21"/>
  <c r="M11" i="21"/>
  <c r="L11" i="21"/>
  <c r="K11" i="21"/>
  <c r="J11" i="21"/>
  <c r="I11" i="21"/>
  <c r="H11" i="21"/>
  <c r="G11" i="21"/>
  <c r="P10" i="21"/>
  <c r="O10" i="21"/>
  <c r="N10" i="21"/>
  <c r="M10" i="21"/>
  <c r="L10" i="21"/>
  <c r="K10" i="21"/>
  <c r="J10" i="21"/>
  <c r="I10" i="21"/>
  <c r="H10" i="21"/>
  <c r="G10" i="21"/>
  <c r="P9" i="21"/>
  <c r="O9" i="21"/>
  <c r="N9" i="21"/>
  <c r="M9" i="21"/>
  <c r="L9" i="21"/>
  <c r="K9" i="21"/>
  <c r="J9" i="21"/>
  <c r="I9" i="21"/>
  <c r="H9" i="21"/>
  <c r="G9" i="21"/>
  <c r="P8" i="21"/>
  <c r="O8" i="21"/>
  <c r="N8" i="21"/>
  <c r="M8" i="21"/>
  <c r="L8" i="21"/>
  <c r="K8" i="21"/>
  <c r="J8" i="21"/>
  <c r="I8" i="21"/>
  <c r="H8" i="21"/>
  <c r="G8" i="21"/>
  <c r="P6" i="21"/>
  <c r="O6" i="21"/>
  <c r="N6" i="21"/>
  <c r="M6" i="21"/>
  <c r="L6" i="21"/>
  <c r="K6" i="21"/>
  <c r="J6" i="21"/>
  <c r="I6" i="21"/>
  <c r="H6" i="21"/>
  <c r="G6" i="21"/>
  <c r="P5" i="21"/>
  <c r="O5" i="21"/>
  <c r="N5" i="21"/>
  <c r="M5" i="21"/>
  <c r="L5" i="21"/>
  <c r="K5" i="21"/>
  <c r="J5" i="21"/>
  <c r="I5" i="21"/>
  <c r="H5" i="21"/>
  <c r="G5" i="21"/>
  <c r="P4" i="21"/>
  <c r="O4" i="21"/>
  <c r="N4" i="21"/>
  <c r="M4" i="21"/>
  <c r="L4" i="21"/>
  <c r="K4" i="21"/>
  <c r="J4" i="21"/>
  <c r="I4" i="21"/>
  <c r="H4" i="21"/>
  <c r="G4" i="21"/>
  <c r="P3" i="21"/>
  <c r="O3" i="21"/>
  <c r="N3" i="21"/>
  <c r="M3" i="21"/>
  <c r="L3" i="21"/>
  <c r="K3" i="21"/>
  <c r="J3" i="21"/>
  <c r="I3" i="21"/>
  <c r="H3" i="21"/>
  <c r="G3" i="21"/>
  <c r="P2" i="21"/>
  <c r="O2" i="21"/>
  <c r="N2" i="21"/>
  <c r="M2" i="21"/>
  <c r="L2" i="21"/>
  <c r="K2" i="21"/>
  <c r="J2" i="21"/>
  <c r="I2" i="21"/>
  <c r="H2" i="21"/>
  <c r="G2" i="21"/>
  <c r="O4" i="1"/>
  <c r="D55" i="25"/>
  <c r="C55" i="25"/>
  <c r="B68" i="20"/>
  <c r="R6" i="17"/>
  <c r="R8" i="17"/>
  <c r="H33" i="26" l="1"/>
  <c r="D7" i="26" s="1"/>
  <c r="E7" i="26" s="1"/>
  <c r="E33" i="26"/>
  <c r="F33" i="26"/>
  <c r="D5" i="26" s="1"/>
  <c r="E5" i="26" s="1"/>
  <c r="O44" i="1"/>
  <c r="C47" i="25"/>
  <c r="C42" i="25" s="1"/>
  <c r="B47" i="25"/>
  <c r="B43" i="25" s="1"/>
  <c r="D47" i="25"/>
  <c r="D31" i="25" s="1"/>
  <c r="D30" i="25"/>
  <c r="B4" i="25"/>
  <c r="B11" i="25"/>
  <c r="B38" i="25" s="1"/>
  <c r="B17" i="25"/>
  <c r="D17" i="25"/>
  <c r="C17" i="25"/>
  <c r="D11" i="25"/>
  <c r="D38" i="25" s="1"/>
  <c r="C11" i="25"/>
  <c r="C4" i="25"/>
  <c r="C31" i="25" s="1"/>
  <c r="D3" i="25"/>
  <c r="Q45" i="2"/>
  <c r="D26" i="24"/>
  <c r="D32" i="24" s="1"/>
  <c r="B7" i="24"/>
  <c r="B6" i="24"/>
  <c r="B5" i="24"/>
  <c r="B4" i="24"/>
  <c r="B3" i="24"/>
  <c r="C3" i="24"/>
  <c r="B31" i="24"/>
  <c r="G30" i="24"/>
  <c r="F30" i="24"/>
  <c r="F29" i="24"/>
  <c r="F28" i="24"/>
  <c r="H27" i="24"/>
  <c r="F27" i="24"/>
  <c r="H25" i="24"/>
  <c r="G25" i="24"/>
  <c r="E25" i="24"/>
  <c r="F24" i="24"/>
  <c r="G22" i="24"/>
  <c r="E21" i="24"/>
  <c r="F20" i="24"/>
  <c r="G19" i="24"/>
  <c r="E19" i="24"/>
  <c r="F18" i="24"/>
  <c r="E17" i="24"/>
  <c r="F16" i="24"/>
  <c r="H15" i="24"/>
  <c r="H32" i="24" s="1"/>
  <c r="F15" i="24"/>
  <c r="C4" i="24"/>
  <c r="Q44" i="2"/>
  <c r="I33" i="26" l="1"/>
  <c r="J32" i="26" s="1"/>
  <c r="D4" i="26"/>
  <c r="G32" i="24"/>
  <c r="E32" i="24"/>
  <c r="C9" i="24"/>
  <c r="I32" i="24"/>
  <c r="H33" i="24" s="1"/>
  <c r="D7" i="24" s="1"/>
  <c r="D44" i="25"/>
  <c r="B31" i="25"/>
  <c r="E3" i="24"/>
  <c r="C38" i="25"/>
  <c r="C43" i="25"/>
  <c r="D40" i="25"/>
  <c r="D33" i="25"/>
  <c r="B18" i="25"/>
  <c r="B45" i="25" s="1"/>
  <c r="D43" i="25"/>
  <c r="B33" i="25"/>
  <c r="D35" i="25"/>
  <c r="C40" i="25"/>
  <c r="B44" i="25"/>
  <c r="B35" i="25"/>
  <c r="C44" i="25"/>
  <c r="C33" i="25"/>
  <c r="C37" i="25"/>
  <c r="B42" i="25"/>
  <c r="C35" i="25"/>
  <c r="D37" i="25"/>
  <c r="B37" i="25"/>
  <c r="D42" i="25"/>
  <c r="B40" i="25"/>
  <c r="C18" i="25"/>
  <c r="C45" i="25" s="1"/>
  <c r="D18" i="25"/>
  <c r="D45" i="25" s="1"/>
  <c r="B9" i="24"/>
  <c r="Q15" i="2"/>
  <c r="Q62" i="1" a="1"/>
  <c r="Q62" i="1" s="1"/>
  <c r="Q39" i="2"/>
  <c r="P39" i="2"/>
  <c r="S10" i="13"/>
  <c r="Q35" i="2"/>
  <c r="Q34" i="2"/>
  <c r="Q32" i="2"/>
  <c r="Q29" i="2"/>
  <c r="Q27" i="2"/>
  <c r="Q26" i="2"/>
  <c r="Q24" i="2"/>
  <c r="Q23" i="2"/>
  <c r="Q20" i="2"/>
  <c r="Q13" i="2"/>
  <c r="Q12" i="2"/>
  <c r="Q11" i="2"/>
  <c r="Q10" i="2"/>
  <c r="Q9" i="2"/>
  <c r="Q8" i="2"/>
  <c r="Q7" i="2"/>
  <c r="Q6" i="2"/>
  <c r="P85" i="1"/>
  <c r="O85" i="1"/>
  <c r="N85" i="1"/>
  <c r="L17" i="14"/>
  <c r="Q12" i="21"/>
  <c r="L18" i="14"/>
  <c r="N15" i="14"/>
  <c r="D9" i="26" l="1"/>
  <c r="E4" i="26"/>
  <c r="G33" i="24"/>
  <c r="E7" i="24"/>
  <c r="Q19" i="2"/>
  <c r="E33" i="24"/>
  <c r="Q85" i="1"/>
  <c r="Q40" i="2" s="1"/>
  <c r="E6" i="24" l="1"/>
  <c r="Q18" i="2"/>
  <c r="E5" i="24"/>
  <c r="Q17" i="2"/>
  <c r="I33" i="24"/>
  <c r="J32" i="24" s="1"/>
  <c r="Q16" i="2" l="1"/>
  <c r="E4" i="24"/>
  <c r="Q30" i="2" l="1"/>
  <c r="Q63" i="1" a="1"/>
  <c r="Q63" i="1" s="1"/>
  <c r="O64" i="1"/>
  <c r="P58" i="1" s="1"/>
  <c r="Q12" i="5"/>
  <c r="Q38" i="2" s="1"/>
  <c r="R11" i="21"/>
  <c r="R10" i="21"/>
  <c r="P7" i="21"/>
  <c r="I7" i="21"/>
  <c r="J71" i="20"/>
  <c r="K71" i="20"/>
  <c r="L71" i="20"/>
  <c r="M71" i="20"/>
  <c r="N71" i="20"/>
  <c r="J60" i="20"/>
  <c r="K60" i="20" s="1"/>
  <c r="L60" i="20" s="1"/>
  <c r="M60" i="20" s="1"/>
  <c r="N60" i="20" s="1"/>
  <c r="P46" i="20"/>
  <c r="I71" i="20" s="1"/>
  <c r="O46" i="20"/>
  <c r="H71" i="20" s="1"/>
  <c r="N46" i="20"/>
  <c r="G71" i="20" s="1"/>
  <c r="M46" i="20"/>
  <c r="F71" i="20" s="1"/>
  <c r="L46" i="20"/>
  <c r="E71" i="20" s="1"/>
  <c r="K46" i="20"/>
  <c r="D71" i="20" s="1"/>
  <c r="J46" i="20"/>
  <c r="I46" i="20"/>
  <c r="H46" i="20"/>
  <c r="G46" i="20"/>
  <c r="F46" i="20"/>
  <c r="E46" i="20"/>
  <c r="P45" i="20"/>
  <c r="I70" i="20" s="1"/>
  <c r="J70" i="20" s="1"/>
  <c r="K70" i="20" s="1"/>
  <c r="L70" i="20" s="1"/>
  <c r="M70" i="20" s="1"/>
  <c r="N70" i="20" s="1"/>
  <c r="O45" i="20"/>
  <c r="H70" i="20" s="1"/>
  <c r="N45" i="20"/>
  <c r="G70" i="20" s="1"/>
  <c r="M45" i="20"/>
  <c r="F70" i="20" s="1"/>
  <c r="L45" i="20"/>
  <c r="E70" i="20" s="1"/>
  <c r="K45" i="20"/>
  <c r="D70" i="20" s="1"/>
  <c r="J45" i="20"/>
  <c r="I45" i="20"/>
  <c r="H45" i="20"/>
  <c r="G45" i="20"/>
  <c r="F45" i="20"/>
  <c r="E45" i="20"/>
  <c r="G44" i="20"/>
  <c r="F44" i="20"/>
  <c r="P43" i="20"/>
  <c r="I68" i="20" s="1"/>
  <c r="J68" i="20" s="1"/>
  <c r="O43" i="20"/>
  <c r="H68" i="20" s="1"/>
  <c r="N43" i="20"/>
  <c r="G68" i="20" s="1"/>
  <c r="M43" i="20"/>
  <c r="F68" i="20" s="1"/>
  <c r="L43" i="20"/>
  <c r="E68" i="20" s="1"/>
  <c r="K43" i="20"/>
  <c r="D68" i="20" s="1"/>
  <c r="J43" i="20"/>
  <c r="I43" i="20"/>
  <c r="H43" i="20"/>
  <c r="G43" i="20"/>
  <c r="F43" i="20"/>
  <c r="E43" i="20"/>
  <c r="O41" i="20"/>
  <c r="H66" i="20" s="1"/>
  <c r="N41" i="20"/>
  <c r="G66" i="20" s="1"/>
  <c r="M41" i="20"/>
  <c r="F66" i="20" s="1"/>
  <c r="L41" i="20"/>
  <c r="E66" i="20" s="1"/>
  <c r="K41" i="20"/>
  <c r="D66" i="20" s="1"/>
  <c r="J41" i="20"/>
  <c r="I41" i="20"/>
  <c r="H41" i="20"/>
  <c r="G41" i="20"/>
  <c r="F41" i="20"/>
  <c r="P40" i="20"/>
  <c r="I65" i="20" s="1"/>
  <c r="O40" i="20"/>
  <c r="H65" i="20" s="1"/>
  <c r="N40" i="20"/>
  <c r="G65" i="20" s="1"/>
  <c r="M40" i="20"/>
  <c r="F65" i="20" s="1"/>
  <c r="L40" i="20"/>
  <c r="E65" i="20" s="1"/>
  <c r="K40" i="20"/>
  <c r="D65" i="20" s="1"/>
  <c r="J40" i="20"/>
  <c r="I40" i="20"/>
  <c r="H40" i="20"/>
  <c r="G40" i="20"/>
  <c r="F40" i="20"/>
  <c r="E40" i="20"/>
  <c r="P39" i="20"/>
  <c r="I64" i="20" s="1"/>
  <c r="O39" i="20"/>
  <c r="H64" i="20" s="1"/>
  <c r="N39" i="20"/>
  <c r="G64" i="20" s="1"/>
  <c r="M39" i="20"/>
  <c r="F64" i="20" s="1"/>
  <c r="L39" i="20"/>
  <c r="E64" i="20" s="1"/>
  <c r="K39" i="20"/>
  <c r="D64" i="20" s="1"/>
  <c r="J39" i="20"/>
  <c r="I39" i="20"/>
  <c r="H39" i="20"/>
  <c r="G39" i="20"/>
  <c r="F39" i="20"/>
  <c r="E39" i="20"/>
  <c r="P38" i="20"/>
  <c r="I63" i="20" s="1"/>
  <c r="O38" i="20"/>
  <c r="H63" i="20" s="1"/>
  <c r="N38" i="20"/>
  <c r="G63" i="20" s="1"/>
  <c r="M38" i="20"/>
  <c r="F63" i="20" s="1"/>
  <c r="L38" i="20"/>
  <c r="E63" i="20" s="1"/>
  <c r="K38" i="20"/>
  <c r="D63" i="20" s="1"/>
  <c r="J38" i="20"/>
  <c r="I38" i="20"/>
  <c r="H38" i="20"/>
  <c r="G38" i="20"/>
  <c r="F38" i="20"/>
  <c r="E38" i="20"/>
  <c r="P37" i="20"/>
  <c r="I62" i="20" s="1"/>
  <c r="O37" i="20"/>
  <c r="H62" i="20" s="1"/>
  <c r="N37" i="20"/>
  <c r="G62" i="20" s="1"/>
  <c r="M37" i="20"/>
  <c r="F62" i="20" s="1"/>
  <c r="L37" i="20"/>
  <c r="E62" i="20" s="1"/>
  <c r="K37" i="20"/>
  <c r="D62" i="20" s="1"/>
  <c r="J37" i="20"/>
  <c r="I37" i="20"/>
  <c r="H37" i="20"/>
  <c r="G37" i="20"/>
  <c r="F37" i="20"/>
  <c r="E37" i="20"/>
  <c r="X52" i="20" s="1" a="1"/>
  <c r="X52" i="20" s="1"/>
  <c r="B64" i="20" s="1"/>
  <c r="P36" i="20"/>
  <c r="P42" i="20" s="1"/>
  <c r="N36" i="20"/>
  <c r="N42" i="20" s="1"/>
  <c r="M36" i="20"/>
  <c r="F61" i="20" s="1"/>
  <c r="L36" i="20"/>
  <c r="E61" i="20" s="1"/>
  <c r="K36" i="20"/>
  <c r="D61" i="20" s="1"/>
  <c r="J36" i="20"/>
  <c r="J42" i="20" s="1"/>
  <c r="I36" i="20"/>
  <c r="H36" i="20"/>
  <c r="H42" i="20" s="1"/>
  <c r="G36" i="20"/>
  <c r="G42" i="20" s="1"/>
  <c r="F36" i="20"/>
  <c r="F42" i="20" s="1"/>
  <c r="F47" i="20" s="1"/>
  <c r="E36" i="20"/>
  <c r="O28" i="20"/>
  <c r="O16" i="20"/>
  <c r="O36" i="20" s="1"/>
  <c r="G9" i="20"/>
  <c r="F9" i="20"/>
  <c r="P7" i="20"/>
  <c r="P44" i="20" s="1"/>
  <c r="I69" i="20" s="1"/>
  <c r="J69" i="20" s="1"/>
  <c r="K69" i="20" s="1"/>
  <c r="L69" i="20" s="1"/>
  <c r="M69" i="20" s="1"/>
  <c r="N69" i="20" s="1"/>
  <c r="O7" i="20"/>
  <c r="O44" i="20" s="1"/>
  <c r="H69" i="20" s="1"/>
  <c r="N7" i="20"/>
  <c r="N44" i="20" s="1"/>
  <c r="G69" i="20" s="1"/>
  <c r="M7" i="20"/>
  <c r="M44" i="20" s="1"/>
  <c r="F69" i="20" s="1"/>
  <c r="L7" i="20"/>
  <c r="L44" i="20" s="1"/>
  <c r="E69" i="20" s="1"/>
  <c r="K7" i="20"/>
  <c r="K44" i="20" s="1"/>
  <c r="D69" i="20" s="1"/>
  <c r="J7" i="20"/>
  <c r="J44" i="20" s="1"/>
  <c r="I7" i="20"/>
  <c r="I44" i="20" s="1"/>
  <c r="H7" i="20"/>
  <c r="H44" i="20" s="1"/>
  <c r="E7" i="20"/>
  <c r="E44" i="20" s="1"/>
  <c r="D7" i="20"/>
  <c r="G47" i="20" l="1"/>
  <c r="J64" i="20"/>
  <c r="K64" i="20" s="1"/>
  <c r="L64" i="20" s="1"/>
  <c r="M64" i="20" s="1"/>
  <c r="N64" i="20" s="1"/>
  <c r="J7" i="21"/>
  <c r="N7" i="21"/>
  <c r="E42" i="20"/>
  <c r="I42" i="20"/>
  <c r="I47" i="20" s="1"/>
  <c r="H7" i="21"/>
  <c r="L7" i="21"/>
  <c r="G7" i="21"/>
  <c r="G12" i="21" s="1"/>
  <c r="K7" i="21"/>
  <c r="I61" i="20"/>
  <c r="M7" i="21"/>
  <c r="O72" i="1"/>
  <c r="Q61" i="1"/>
  <c r="B65" i="20"/>
  <c r="O42" i="20"/>
  <c r="O47" i="20" s="1"/>
  <c r="E47" i="20"/>
  <c r="N47" i="20"/>
  <c r="G67" i="20"/>
  <c r="H47" i="20"/>
  <c r="P47" i="20"/>
  <c r="I67" i="20"/>
  <c r="N68" i="20"/>
  <c r="M68" i="20"/>
  <c r="L68" i="20"/>
  <c r="K68" i="20"/>
  <c r="J47" i="20"/>
  <c r="G61" i="20"/>
  <c r="H61" i="20"/>
  <c r="K42" i="20"/>
  <c r="L42" i="20"/>
  <c r="M42" i="20"/>
  <c r="R52" i="20" a="1"/>
  <c r="R52" i="20" s="1"/>
  <c r="B62" i="20" s="1"/>
  <c r="J62" i="20" s="1"/>
  <c r="K62" i="20" s="1"/>
  <c r="L62" i="20" s="1"/>
  <c r="M62" i="20" s="1"/>
  <c r="N62" i="20" s="1"/>
  <c r="Q59" i="1" l="1"/>
  <c r="D25" i="25"/>
  <c r="D54" i="25"/>
  <c r="D57" i="25" s="1"/>
  <c r="D52" i="25"/>
  <c r="P23" i="16"/>
  <c r="N65" i="20"/>
  <c r="M65" i="20"/>
  <c r="L65" i="20"/>
  <c r="J65" i="20"/>
  <c r="K65" i="20"/>
  <c r="H67" i="20"/>
  <c r="H76" i="20" s="1"/>
  <c r="H77" i="20" s="1"/>
  <c r="J63" i="20"/>
  <c r="I72" i="20"/>
  <c r="L66" i="20"/>
  <c r="K66" i="20"/>
  <c r="N66" i="20"/>
  <c r="M66" i="20"/>
  <c r="L47" i="20"/>
  <c r="E67" i="20"/>
  <c r="I76" i="20"/>
  <c r="K47" i="20"/>
  <c r="D67" i="20"/>
  <c r="F67" i="20"/>
  <c r="M47" i="20"/>
  <c r="G76" i="20"/>
  <c r="G77" i="20" s="1"/>
  <c r="G72" i="20"/>
  <c r="H72" i="20" l="1"/>
  <c r="D72" i="20"/>
  <c r="D76" i="20"/>
  <c r="D77" i="20" s="1"/>
  <c r="J67" i="20"/>
  <c r="J76" i="20" s="1"/>
  <c r="E72" i="20"/>
  <c r="E76" i="20"/>
  <c r="E77" i="20" s="1"/>
  <c r="F72" i="20"/>
  <c r="F76" i="20"/>
  <c r="F77" i="20" s="1"/>
  <c r="J72" i="20" l="1"/>
  <c r="K61" i="20"/>
  <c r="K63" i="20" s="1"/>
  <c r="K67" i="20" l="1"/>
  <c r="K76" i="20" l="1"/>
  <c r="L61" i="20"/>
  <c r="L63" i="20" s="1"/>
  <c r="K72" i="20"/>
  <c r="L67" i="20" l="1"/>
  <c r="M61" i="20" l="1"/>
  <c r="M63" i="20" s="1"/>
  <c r="L72" i="20"/>
  <c r="L76" i="20"/>
  <c r="M67" i="20" l="1"/>
  <c r="N61" i="20" l="1"/>
  <c r="N63" i="20" s="1"/>
  <c r="M72" i="20"/>
  <c r="M76" i="20"/>
  <c r="N67" i="20" l="1"/>
  <c r="N76" i="20" s="1"/>
  <c r="N72" i="20" l="1"/>
  <c r="P72" i="1" l="1"/>
  <c r="R6" i="15"/>
  <c r="R3" i="15" s="1"/>
  <c r="B10" i="4"/>
  <c r="B9" i="4"/>
  <c r="B8" i="4"/>
  <c r="B7" i="4"/>
  <c r="O39" i="17" l="1"/>
  <c r="Q16" i="16"/>
  <c r="Q13" i="16" s="1"/>
  <c r="S4" i="13"/>
  <c r="E41" i="17"/>
  <c r="P36" i="17"/>
  <c r="E36" i="17"/>
  <c r="O46" i="17"/>
  <c r="N46" i="17"/>
  <c r="M46" i="17"/>
  <c r="L46" i="17"/>
  <c r="K46" i="17"/>
  <c r="J46" i="17"/>
  <c r="I46" i="17"/>
  <c r="H46" i="17"/>
  <c r="G46" i="17"/>
  <c r="F46" i="17"/>
  <c r="E46" i="17"/>
  <c r="O45" i="17"/>
  <c r="N45" i="17"/>
  <c r="M45" i="17"/>
  <c r="L45" i="17"/>
  <c r="K45" i="17"/>
  <c r="J45" i="17"/>
  <c r="I45" i="17"/>
  <c r="H45" i="17"/>
  <c r="G45" i="17"/>
  <c r="F45" i="17"/>
  <c r="E45" i="17"/>
  <c r="G44" i="17"/>
  <c r="F44" i="17"/>
  <c r="O43" i="17"/>
  <c r="N43" i="17"/>
  <c r="M43" i="17"/>
  <c r="L43" i="17"/>
  <c r="K43" i="17"/>
  <c r="J43" i="17"/>
  <c r="I43" i="17"/>
  <c r="H43" i="17"/>
  <c r="G43" i="17"/>
  <c r="F43" i="17"/>
  <c r="E43" i="17"/>
  <c r="O41" i="17"/>
  <c r="H66" i="17" s="1"/>
  <c r="N41" i="17"/>
  <c r="M41" i="17"/>
  <c r="L41" i="17"/>
  <c r="K41" i="17"/>
  <c r="D66" i="17" s="1"/>
  <c r="J41" i="17"/>
  <c r="I41" i="17"/>
  <c r="H41" i="17"/>
  <c r="G41" i="17"/>
  <c r="F41" i="17"/>
  <c r="O40" i="17"/>
  <c r="N40" i="17"/>
  <c r="M40" i="17"/>
  <c r="L40" i="17"/>
  <c r="K40" i="17"/>
  <c r="J40" i="17"/>
  <c r="I40" i="17"/>
  <c r="H40" i="17"/>
  <c r="G40" i="17"/>
  <c r="F40" i="17"/>
  <c r="N39" i="17"/>
  <c r="M39" i="17"/>
  <c r="L39" i="17"/>
  <c r="K39" i="17"/>
  <c r="J39" i="17"/>
  <c r="I39" i="17"/>
  <c r="H39" i="17"/>
  <c r="G39" i="17"/>
  <c r="F39" i="17"/>
  <c r="E39" i="17"/>
  <c r="O38" i="17"/>
  <c r="N38" i="17"/>
  <c r="M38" i="17"/>
  <c r="L38" i="17"/>
  <c r="K38" i="17"/>
  <c r="J38" i="17"/>
  <c r="I38" i="17"/>
  <c r="H38" i="17"/>
  <c r="G38" i="17"/>
  <c r="F38" i="17"/>
  <c r="E38" i="17"/>
  <c r="O37" i="17"/>
  <c r="N37" i="17"/>
  <c r="M37" i="17"/>
  <c r="L37" i="17"/>
  <c r="K37" i="17"/>
  <c r="J37" i="17"/>
  <c r="I37" i="17"/>
  <c r="H37" i="17"/>
  <c r="G37" i="17"/>
  <c r="F37" i="17"/>
  <c r="E37" i="17"/>
  <c r="P46" i="17"/>
  <c r="P45" i="17"/>
  <c r="I66" i="17"/>
  <c r="R4" i="15"/>
  <c r="H36" i="17"/>
  <c r="P6" i="5"/>
  <c r="J66" i="17" l="1"/>
  <c r="H42" i="17"/>
  <c r="E42" i="17"/>
  <c r="S9" i="13"/>
  <c r="Q36" i="2"/>
  <c r="M66" i="17" l="1"/>
  <c r="N66" i="17"/>
  <c r="L66" i="17"/>
  <c r="K66" i="17"/>
  <c r="P5" i="5"/>
  <c r="F36" i="17"/>
  <c r="F42" i="17" s="1"/>
  <c r="F47" i="17" s="1"/>
  <c r="G36" i="17"/>
  <c r="G42" i="17" s="1"/>
  <c r="G47" i="17" s="1"/>
  <c r="I36" i="17"/>
  <c r="I42" i="17" s="1"/>
  <c r="J36" i="17"/>
  <c r="J42" i="17" s="1"/>
  <c r="K36" i="17"/>
  <c r="L36" i="17"/>
  <c r="M36" i="17"/>
  <c r="N36" i="17"/>
  <c r="I61" i="17"/>
  <c r="D62" i="17"/>
  <c r="E62" i="17"/>
  <c r="F62" i="17"/>
  <c r="G62" i="17"/>
  <c r="H62" i="17"/>
  <c r="D63" i="17"/>
  <c r="E63" i="17"/>
  <c r="F63" i="17"/>
  <c r="G63" i="17"/>
  <c r="H63" i="17"/>
  <c r="P38" i="17"/>
  <c r="I63" i="17" s="1"/>
  <c r="D64" i="17"/>
  <c r="F64" i="17"/>
  <c r="G64" i="17"/>
  <c r="H64" i="17"/>
  <c r="P39" i="17"/>
  <c r="D65" i="17"/>
  <c r="E65" i="17"/>
  <c r="F65" i="17"/>
  <c r="G65" i="17"/>
  <c r="H65" i="17"/>
  <c r="E66" i="17"/>
  <c r="F66" i="17"/>
  <c r="D68" i="17"/>
  <c r="E68" i="17"/>
  <c r="F68" i="17"/>
  <c r="G68" i="17"/>
  <c r="H68" i="17"/>
  <c r="I68" i="17"/>
  <c r="G61" i="17" l="1"/>
  <c r="N42" i="17"/>
  <c r="D61" i="17"/>
  <c r="K42" i="17"/>
  <c r="J68" i="17"/>
  <c r="R8" i="21" s="1"/>
  <c r="N68" i="17"/>
  <c r="M68" i="17"/>
  <c r="L68" i="17"/>
  <c r="I62" i="17"/>
  <c r="R52" i="17" a="1"/>
  <c r="R52" i="17" s="1"/>
  <c r="B62" i="17" s="1"/>
  <c r="B2" i="10" s="1"/>
  <c r="F61" i="17"/>
  <c r="M42" i="17"/>
  <c r="I65" i="17"/>
  <c r="I64" i="17"/>
  <c r="X52" i="17" a="1"/>
  <c r="X52" i="17" s="1"/>
  <c r="B64" i="17" s="1"/>
  <c r="B4" i="10" s="1"/>
  <c r="E61" i="17"/>
  <c r="L42" i="17"/>
  <c r="G66" i="17"/>
  <c r="E64" i="17"/>
  <c r="P42" i="17"/>
  <c r="R3" i="21" l="1"/>
  <c r="J62" i="17"/>
  <c r="R5" i="21"/>
  <c r="J64" i="17"/>
  <c r="K64" i="17" s="1"/>
  <c r="L64" i="17" s="1"/>
  <c r="M64" i="17" s="1"/>
  <c r="N64" i="17" s="1"/>
  <c r="R6" i="21"/>
  <c r="B5" i="10"/>
  <c r="L65" i="17"/>
  <c r="G67" i="17"/>
  <c r="F67" i="17"/>
  <c r="D67" i="17"/>
  <c r="I67" i="17"/>
  <c r="E67" i="17"/>
  <c r="N65" i="17"/>
  <c r="M65" i="17"/>
  <c r="J61" i="17" l="1"/>
  <c r="L62" i="17"/>
  <c r="M62" i="17" s="1"/>
  <c r="N62" i="17" s="1"/>
  <c r="R2" i="21" l="1"/>
  <c r="J63" i="17"/>
  <c r="J67" i="17" s="1"/>
  <c r="K61" i="17" s="1"/>
  <c r="P64" i="17"/>
  <c r="P65" i="17" s="1"/>
  <c r="K63" i="17" l="1"/>
  <c r="K67" i="17" s="1"/>
  <c r="R4" i="21"/>
  <c r="Q2" i="21"/>
  <c r="Q2" i="5" s="1"/>
  <c r="G2" i="5"/>
  <c r="H2" i="5"/>
  <c r="I2" i="5"/>
  <c r="J2" i="5"/>
  <c r="K2" i="5"/>
  <c r="L2" i="5"/>
  <c r="M2" i="5"/>
  <c r="N2" i="5"/>
  <c r="G3" i="5"/>
  <c r="H3" i="5"/>
  <c r="I3" i="5"/>
  <c r="J3" i="5"/>
  <c r="K3" i="5"/>
  <c r="L3" i="5"/>
  <c r="M3" i="5"/>
  <c r="N3" i="5"/>
  <c r="O3" i="5"/>
  <c r="G4" i="5"/>
  <c r="H4" i="5"/>
  <c r="I4" i="5"/>
  <c r="J4" i="5"/>
  <c r="K4" i="5"/>
  <c r="L4" i="5"/>
  <c r="M4" i="5"/>
  <c r="N4" i="5"/>
  <c r="O4" i="5"/>
  <c r="G5" i="5"/>
  <c r="H5" i="5"/>
  <c r="I5" i="5"/>
  <c r="J5" i="5"/>
  <c r="K5" i="5"/>
  <c r="L5" i="5"/>
  <c r="M5" i="5"/>
  <c r="N5" i="5"/>
  <c r="O5" i="5"/>
  <c r="G6" i="5"/>
  <c r="H6" i="5"/>
  <c r="I6" i="5"/>
  <c r="J6" i="5"/>
  <c r="K6" i="5"/>
  <c r="L6" i="5"/>
  <c r="M6" i="5"/>
  <c r="N6" i="5"/>
  <c r="O6" i="5"/>
  <c r="G8" i="5"/>
  <c r="H8" i="5"/>
  <c r="I8" i="5"/>
  <c r="J8" i="5"/>
  <c r="K8" i="5"/>
  <c r="L8" i="5"/>
  <c r="M8" i="5"/>
  <c r="N8" i="5"/>
  <c r="O8" i="5"/>
  <c r="G9" i="5"/>
  <c r="G10" i="5"/>
  <c r="H10" i="5"/>
  <c r="I10" i="5"/>
  <c r="J10" i="5"/>
  <c r="K10" i="5"/>
  <c r="L10" i="5"/>
  <c r="M10" i="5"/>
  <c r="N10" i="5"/>
  <c r="O10" i="5"/>
  <c r="G11" i="5"/>
  <c r="H11" i="5"/>
  <c r="I11" i="5"/>
  <c r="J11" i="5"/>
  <c r="K11" i="5"/>
  <c r="L11" i="5"/>
  <c r="M11" i="5"/>
  <c r="N11" i="5"/>
  <c r="O11" i="5"/>
  <c r="P11" i="5"/>
  <c r="P10" i="5"/>
  <c r="P8" i="5"/>
  <c r="P4" i="5"/>
  <c r="P3" i="5"/>
  <c r="P2" i="5"/>
  <c r="J60" i="17"/>
  <c r="O28" i="17"/>
  <c r="O16" i="17"/>
  <c r="O7" i="21" s="1"/>
  <c r="G9" i="17"/>
  <c r="F9" i="17"/>
  <c r="P7" i="17"/>
  <c r="O7" i="17"/>
  <c r="N7" i="17"/>
  <c r="M7" i="17"/>
  <c r="L7" i="17"/>
  <c r="K7" i="17"/>
  <c r="J7" i="17"/>
  <c r="I7" i="17"/>
  <c r="H7" i="17"/>
  <c r="E7" i="17"/>
  <c r="E44" i="17" s="1"/>
  <c r="E47" i="17" s="1"/>
  <c r="D7" i="17"/>
  <c r="P9" i="16"/>
  <c r="O9" i="16"/>
  <c r="P15" i="16"/>
  <c r="O15" i="16"/>
  <c r="N15" i="16"/>
  <c r="M15" i="16"/>
  <c r="M16" i="16" s="1"/>
  <c r="L15" i="16"/>
  <c r="L16" i="16" s="1"/>
  <c r="K15" i="16"/>
  <c r="J15" i="16"/>
  <c r="I15" i="16"/>
  <c r="I16" i="16" s="1"/>
  <c r="H15" i="16"/>
  <c r="H16" i="16" s="1"/>
  <c r="G15" i="16"/>
  <c r="F15" i="16"/>
  <c r="E15" i="16"/>
  <c r="E16" i="16" s="1"/>
  <c r="D15" i="16"/>
  <c r="D16" i="16" s="1"/>
  <c r="C15" i="16"/>
  <c r="B15" i="16"/>
  <c r="B16" i="16" s="1"/>
  <c r="N9" i="16"/>
  <c r="M9" i="16"/>
  <c r="L9" i="16"/>
  <c r="K9" i="16"/>
  <c r="J9" i="16"/>
  <c r="I9" i="16"/>
  <c r="H9" i="16"/>
  <c r="G9" i="16"/>
  <c r="F9" i="16"/>
  <c r="E9" i="16"/>
  <c r="D9" i="16"/>
  <c r="C9" i="16"/>
  <c r="B9" i="16"/>
  <c r="O2" i="16"/>
  <c r="N2" i="16"/>
  <c r="M2" i="16"/>
  <c r="L2" i="16"/>
  <c r="K2" i="16"/>
  <c r="J2" i="16"/>
  <c r="I2" i="16"/>
  <c r="H2" i="16"/>
  <c r="G2" i="16"/>
  <c r="F2" i="16"/>
  <c r="E2" i="16"/>
  <c r="D2" i="16"/>
  <c r="C2" i="16"/>
  <c r="B2" i="16"/>
  <c r="P1" i="16"/>
  <c r="Q1" i="16" s="1"/>
  <c r="Q3" i="15"/>
  <c r="P3" i="15"/>
  <c r="O3" i="15"/>
  <c r="N3" i="15"/>
  <c r="M3" i="15"/>
  <c r="L3" i="15"/>
  <c r="K3" i="15"/>
  <c r="J3" i="15"/>
  <c r="I3" i="15"/>
  <c r="H3" i="15"/>
  <c r="G3" i="15"/>
  <c r="F3" i="15"/>
  <c r="E3" i="15"/>
  <c r="C3" i="15"/>
  <c r="F16" i="16" l="1"/>
  <c r="J16" i="16"/>
  <c r="N16" i="16"/>
  <c r="C16" i="16"/>
  <c r="G16" i="16"/>
  <c r="K16" i="16"/>
  <c r="O16" i="16"/>
  <c r="N12" i="21"/>
  <c r="N44" i="17"/>
  <c r="N47" i="17" s="1"/>
  <c r="P16" i="16"/>
  <c r="K12" i="21"/>
  <c r="K44" i="17"/>
  <c r="K47" i="17" s="1"/>
  <c r="O44" i="17"/>
  <c r="J12" i="21"/>
  <c r="J44" i="17"/>
  <c r="J47" i="17" s="1"/>
  <c r="H12" i="21"/>
  <c r="H44" i="17"/>
  <c r="H47" i="17" s="1"/>
  <c r="L12" i="21"/>
  <c r="L44" i="17"/>
  <c r="L47" i="17" s="1"/>
  <c r="P44" i="17"/>
  <c r="P47" i="17" s="1"/>
  <c r="R7" i="21"/>
  <c r="I12" i="21"/>
  <c r="I44" i="17"/>
  <c r="I47" i="17" s="1"/>
  <c r="M12" i="21"/>
  <c r="M44" i="17"/>
  <c r="M47" i="17" s="1"/>
  <c r="K60" i="17"/>
  <c r="L60" i="17" s="1"/>
  <c r="M60" i="17" s="1"/>
  <c r="N60" i="17" s="1"/>
  <c r="F70" i="17"/>
  <c r="G70" i="17"/>
  <c r="H69" i="17"/>
  <c r="H70" i="17"/>
  <c r="D71" i="17"/>
  <c r="I70" i="17"/>
  <c r="J70" i="17" s="1"/>
  <c r="E71" i="17"/>
  <c r="F71" i="17"/>
  <c r="G71" i="17"/>
  <c r="O2" i="5"/>
  <c r="O7" i="5" s="1"/>
  <c r="O36" i="17"/>
  <c r="O42" i="17" s="1"/>
  <c r="O47" i="17" s="1"/>
  <c r="D70" i="17"/>
  <c r="H71" i="17"/>
  <c r="E70" i="17"/>
  <c r="I71" i="17"/>
  <c r="J71" i="17" s="1"/>
  <c r="L71" i="17" s="1"/>
  <c r="M71" i="17" s="1"/>
  <c r="N71" i="17" s="1"/>
  <c r="M7" i="5"/>
  <c r="N7" i="5"/>
  <c r="J9" i="5"/>
  <c r="G7" i="5"/>
  <c r="G12" i="5" s="1"/>
  <c r="L7" i="5"/>
  <c r="I7" i="5"/>
  <c r="J7" i="5"/>
  <c r="H7" i="5"/>
  <c r="O9" i="5"/>
  <c r="N9" i="5"/>
  <c r="M9" i="5"/>
  <c r="L9" i="5"/>
  <c r="K9" i="5"/>
  <c r="K7" i="5"/>
  <c r="I9" i="5"/>
  <c r="P9" i="5"/>
  <c r="H9" i="5"/>
  <c r="P7" i="5"/>
  <c r="K70" i="17" l="1"/>
  <c r="L70" i="17" s="1"/>
  <c r="M70" i="17" s="1"/>
  <c r="N70" i="17" s="1"/>
  <c r="R9" i="21"/>
  <c r="P12" i="21"/>
  <c r="Q11" i="16"/>
  <c r="Q4" i="16"/>
  <c r="Q8" i="16"/>
  <c r="Q6" i="16"/>
  <c r="Q14" i="16"/>
  <c r="Q9" i="16"/>
  <c r="Q15" i="16"/>
  <c r="N12" i="5"/>
  <c r="E69" i="17"/>
  <c r="E72" i="17" s="1"/>
  <c r="D69" i="17"/>
  <c r="G69" i="17"/>
  <c r="G72" i="17" s="1"/>
  <c r="F69" i="17"/>
  <c r="F76" i="17" s="1"/>
  <c r="F77" i="17" s="1"/>
  <c r="I69" i="17"/>
  <c r="M12" i="5"/>
  <c r="O12" i="5"/>
  <c r="H61" i="17"/>
  <c r="J12" i="5"/>
  <c r="L12" i="5"/>
  <c r="H12" i="5"/>
  <c r="I12" i="5"/>
  <c r="P12" i="5"/>
  <c r="P38" i="2" s="1"/>
  <c r="K12" i="5"/>
  <c r="O60" i="1"/>
  <c r="O59" i="1" s="1"/>
  <c r="P4" i="15"/>
  <c r="Q42" i="1"/>
  <c r="E12" i="1"/>
  <c r="P99" i="1"/>
  <c r="P44" i="1"/>
  <c r="B15" i="3"/>
  <c r="Q2" i="2" l="1"/>
  <c r="B16" i="3"/>
  <c r="J69" i="17"/>
  <c r="I76" i="17"/>
  <c r="D72" i="17"/>
  <c r="D76" i="17"/>
  <c r="R12" i="21"/>
  <c r="Q14" i="2"/>
  <c r="Q45" i="1"/>
  <c r="Q22" i="2"/>
  <c r="G76" i="17"/>
  <c r="G77" i="17" s="1"/>
  <c r="I72" i="17"/>
  <c r="F72" i="17"/>
  <c r="H67" i="17"/>
  <c r="H72" i="17" s="1"/>
  <c r="E76" i="17"/>
  <c r="E77" i="17" s="1"/>
  <c r="D77" i="17"/>
  <c r="Q3" i="2"/>
  <c r="M24" i="14"/>
  <c r="N24" i="14"/>
  <c r="L24" i="14"/>
  <c r="G28" i="14"/>
  <c r="Q3" i="14"/>
  <c r="R3" i="14"/>
  <c r="Q7" i="14"/>
  <c r="R7" i="14"/>
  <c r="Q8" i="14"/>
  <c r="R8" i="14"/>
  <c r="Q9" i="14"/>
  <c r="R9" i="14"/>
  <c r="R2" i="14"/>
  <c r="Q2" i="14"/>
  <c r="B21" i="14"/>
  <c r="L16" i="14" s="1"/>
  <c r="G13" i="14"/>
  <c r="H13" i="14"/>
  <c r="G29" i="14"/>
  <c r="H29" i="14"/>
  <c r="G30" i="14"/>
  <c r="H30" i="14"/>
  <c r="H28" i="14"/>
  <c r="G19" i="14"/>
  <c r="H19" i="14"/>
  <c r="G20" i="14"/>
  <c r="H20" i="14"/>
  <c r="H21" i="14"/>
  <c r="G22" i="14"/>
  <c r="H22" i="14"/>
  <c r="G23" i="14"/>
  <c r="H23" i="14"/>
  <c r="G24" i="14"/>
  <c r="H24" i="14"/>
  <c r="H25" i="14"/>
  <c r="H18" i="14"/>
  <c r="G18" i="14"/>
  <c r="H5" i="14"/>
  <c r="H6" i="14"/>
  <c r="H7" i="14"/>
  <c r="H8" i="14"/>
  <c r="H9" i="14"/>
  <c r="H10" i="14"/>
  <c r="H11" i="14"/>
  <c r="H12" i="14"/>
  <c r="H14" i="14"/>
  <c r="H15" i="14"/>
  <c r="G12" i="14"/>
  <c r="G14" i="14"/>
  <c r="G11" i="14"/>
  <c r="G10" i="14"/>
  <c r="G9" i="14"/>
  <c r="G8" i="14"/>
  <c r="G7" i="14"/>
  <c r="G6" i="14"/>
  <c r="H4" i="14"/>
  <c r="G4" i="14"/>
  <c r="L27" i="14"/>
  <c r="M4" i="14"/>
  <c r="N4" i="14"/>
  <c r="L4" i="14"/>
  <c r="Q53" i="1" l="1"/>
  <c r="Q28" i="2" s="1"/>
  <c r="Q54" i="1"/>
  <c r="Q14" i="21"/>
  <c r="Q11" i="21"/>
  <c r="Q11" i="5" s="1"/>
  <c r="Q10" i="21"/>
  <c r="Q10" i="5" s="1"/>
  <c r="Q8" i="21"/>
  <c r="Q8" i="5" s="1"/>
  <c r="Q5" i="21"/>
  <c r="Q5" i="5" s="1"/>
  <c r="Q6" i="21"/>
  <c r="Q6" i="5" s="1"/>
  <c r="Q3" i="21"/>
  <c r="Q3" i="5" s="1"/>
  <c r="Q4" i="21"/>
  <c r="Q4" i="5" s="1"/>
  <c r="Q7" i="21"/>
  <c r="L69" i="17"/>
  <c r="M69" i="17" s="1"/>
  <c r="N69" i="17" s="1"/>
  <c r="J76" i="17"/>
  <c r="J72" i="17"/>
  <c r="Q4" i="14"/>
  <c r="Q9" i="21"/>
  <c r="Q9" i="5" s="1"/>
  <c r="R4" i="14"/>
  <c r="G21" i="14"/>
  <c r="H76" i="17"/>
  <c r="H77" i="17" s="1"/>
  <c r="M18" i="14"/>
  <c r="N18" i="14"/>
  <c r="M17" i="14"/>
  <c r="M27" i="14" s="1"/>
  <c r="N17" i="14"/>
  <c r="N27" i="14" s="1"/>
  <c r="N16" i="14"/>
  <c r="M16" i="14"/>
  <c r="M15" i="14"/>
  <c r="M20" i="14" s="1"/>
  <c r="O84" i="1" s="1"/>
  <c r="L6" i="14"/>
  <c r="L5" i="14"/>
  <c r="B25" i="14"/>
  <c r="G25" i="14" s="1"/>
  <c r="C32" i="14"/>
  <c r="D32" i="14"/>
  <c r="B32" i="14"/>
  <c r="B5" i="14"/>
  <c r="L15" i="14" s="1"/>
  <c r="N5" i="14"/>
  <c r="M5" i="14"/>
  <c r="N6" i="14"/>
  <c r="M6" i="14"/>
  <c r="R6" i="14" s="1"/>
  <c r="L20" i="14" l="1"/>
  <c r="P84" i="1" s="1"/>
  <c r="L19" i="14"/>
  <c r="N20" i="14"/>
  <c r="N84" i="1" s="1"/>
  <c r="Q13" i="21"/>
  <c r="Q7" i="5"/>
  <c r="Q5" i="14"/>
  <c r="R5" i="14"/>
  <c r="Q6" i="14"/>
  <c r="H32" i="14"/>
  <c r="N19" i="14"/>
  <c r="N25" i="14" s="1"/>
  <c r="N26" i="14" s="1"/>
  <c r="N28" i="14" s="1"/>
  <c r="B15" i="14"/>
  <c r="G15" i="14" s="1"/>
  <c r="G5" i="14"/>
  <c r="G32" i="14"/>
  <c r="M19" i="14"/>
  <c r="Q84" i="1" l="1"/>
  <c r="Q41" i="2" s="1"/>
  <c r="M25" i="14"/>
  <c r="M26" i="14" s="1"/>
  <c r="M28" i="14" s="1"/>
  <c r="P41" i="2"/>
  <c r="Q43" i="2" s="1"/>
  <c r="L25" i="14"/>
  <c r="L26" i="14" s="1"/>
  <c r="L28" i="14" s="1"/>
  <c r="K72" i="17"/>
  <c r="P77" i="1"/>
  <c r="P67" i="1" s="1"/>
  <c r="Q31" i="2" l="1"/>
  <c r="K76" i="17"/>
  <c r="L61" i="17"/>
  <c r="L63" i="17" s="1"/>
  <c r="L67" i="17" l="1"/>
  <c r="L72" i="17" s="1"/>
  <c r="O99" i="1"/>
  <c r="P40" i="2"/>
  <c r="Q42" i="2" s="1"/>
  <c r="P34" i="2"/>
  <c r="P26" i="2"/>
  <c r="P24" i="2"/>
  <c r="P23" i="2"/>
  <c r="P21" i="2"/>
  <c r="P20" i="2"/>
  <c r="P19" i="2"/>
  <c r="P18" i="2"/>
  <c r="P17" i="2"/>
  <c r="P16" i="2"/>
  <c r="P15" i="2"/>
  <c r="P13" i="2"/>
  <c r="P12" i="2"/>
  <c r="P11" i="2"/>
  <c r="P10" i="2"/>
  <c r="P9" i="2"/>
  <c r="P8" i="2"/>
  <c r="P7" i="2"/>
  <c r="P6" i="2"/>
  <c r="P5" i="2"/>
  <c r="P3" i="2"/>
  <c r="C99" i="1"/>
  <c r="D99" i="1"/>
  <c r="E99" i="1"/>
  <c r="F99" i="1"/>
  <c r="G99" i="1"/>
  <c r="H99" i="1"/>
  <c r="I99" i="1"/>
  <c r="J99" i="1"/>
  <c r="K99" i="1"/>
  <c r="L99" i="1"/>
  <c r="M99" i="1"/>
  <c r="N99" i="1"/>
  <c r="B99" i="1"/>
  <c r="K44" i="1"/>
  <c r="P8" i="1"/>
  <c r="P2" i="2"/>
  <c r="O77" i="1"/>
  <c r="O67" i="1" s="1"/>
  <c r="P60" i="1"/>
  <c r="K60" i="1"/>
  <c r="K59" i="1" s="1"/>
  <c r="P52" i="1"/>
  <c r="M44" i="1"/>
  <c r="P42" i="1"/>
  <c r="P20" i="1"/>
  <c r="P21" i="1" s="1"/>
  <c r="P22" i="2" l="1"/>
  <c r="P27" i="2"/>
  <c r="P32" i="2"/>
  <c r="P59" i="1"/>
  <c r="L76" i="17"/>
  <c r="M61" i="17"/>
  <c r="M63" i="17" s="1"/>
  <c r="Q4" i="15"/>
  <c r="P4" i="2"/>
  <c r="Q5" i="2"/>
  <c r="Q4" i="2"/>
  <c r="P31" i="2"/>
  <c r="P33" i="2"/>
  <c r="P23" i="1"/>
  <c r="P45" i="1"/>
  <c r="P54" i="1" s="1"/>
  <c r="P14" i="2"/>
  <c r="P53" i="1" l="1"/>
  <c r="M67" i="17"/>
  <c r="M72" i="17" s="1"/>
  <c r="P46" i="1"/>
  <c r="C4" i="13"/>
  <c r="C9" i="13" s="1"/>
  <c r="B4" i="13"/>
  <c r="B9" i="13" s="1"/>
  <c r="D4" i="13"/>
  <c r="B36" i="2" s="1"/>
  <c r="E4" i="13"/>
  <c r="C36" i="2" s="1"/>
  <c r="F4" i="13"/>
  <c r="D36" i="2" s="1"/>
  <c r="G4" i="13"/>
  <c r="E36" i="2" s="1"/>
  <c r="P55" i="1" l="1"/>
  <c r="P49" i="1"/>
  <c r="P25" i="2" s="1"/>
  <c r="E9" i="13"/>
  <c r="D9" i="13"/>
  <c r="C37" i="2" s="1"/>
  <c r="F9" i="13"/>
  <c r="D37" i="2" s="1"/>
  <c r="G9" i="13"/>
  <c r="M76" i="17"/>
  <c r="N61" i="17"/>
  <c r="N63" i="17" s="1"/>
  <c r="P56" i="1"/>
  <c r="P28" i="2"/>
  <c r="O39" i="2"/>
  <c r="N39" i="2"/>
  <c r="M39" i="2"/>
  <c r="L39" i="2"/>
  <c r="K39" i="2"/>
  <c r="J39" i="2"/>
  <c r="I39" i="2"/>
  <c r="H39" i="2"/>
  <c r="G39" i="2"/>
  <c r="F39" i="2"/>
  <c r="E39" i="2"/>
  <c r="D39" i="2"/>
  <c r="C39" i="2"/>
  <c r="B39" i="2"/>
  <c r="G15" i="1"/>
  <c r="B11" i="2"/>
  <c r="P76" i="1" l="1"/>
  <c r="P79" i="1"/>
  <c r="Q40" i="1"/>
  <c r="E37" i="2"/>
  <c r="B37" i="2"/>
  <c r="P29" i="2"/>
  <c r="P30" i="2"/>
  <c r="Q44" i="1" l="1"/>
  <c r="B17" i="3" s="1"/>
  <c r="Q21" i="2"/>
  <c r="Q46" i="1"/>
  <c r="R4" i="13"/>
  <c r="P36" i="2" s="1"/>
  <c r="N67" i="17"/>
  <c r="P35" i="2"/>
  <c r="N64" i="1"/>
  <c r="M64" i="1"/>
  <c r="L64" i="1"/>
  <c r="K64" i="1"/>
  <c r="J64" i="1"/>
  <c r="I64" i="1"/>
  <c r="H64" i="1"/>
  <c r="G64" i="1"/>
  <c r="F64" i="1"/>
  <c r="E61" i="1"/>
  <c r="E64" i="1" s="1"/>
  <c r="D61" i="1"/>
  <c r="C61" i="1"/>
  <c r="C64" i="1" s="1"/>
  <c r="B61" i="1"/>
  <c r="B64" i="1" s="1"/>
  <c r="O42" i="1"/>
  <c r="N42" i="1"/>
  <c r="M42" i="1"/>
  <c r="L42" i="1"/>
  <c r="K42" i="1"/>
  <c r="J42" i="1"/>
  <c r="I42" i="1"/>
  <c r="H42" i="1"/>
  <c r="G42" i="1"/>
  <c r="F42" i="1"/>
  <c r="E42" i="1"/>
  <c r="D42" i="1"/>
  <c r="O20" i="1"/>
  <c r="E15" i="1"/>
  <c r="H12" i="1"/>
  <c r="G12" i="1"/>
  <c r="F12" i="1"/>
  <c r="D12" i="1"/>
  <c r="C12" i="1"/>
  <c r="B12" i="1"/>
  <c r="N8" i="1"/>
  <c r="M8" i="1"/>
  <c r="L8" i="1"/>
  <c r="K8" i="1"/>
  <c r="J8" i="1"/>
  <c r="I8" i="1"/>
  <c r="H6" i="1"/>
  <c r="G6" i="1"/>
  <c r="F6" i="1"/>
  <c r="E6" i="1"/>
  <c r="D6" i="1"/>
  <c r="C6" i="1"/>
  <c r="B6" i="1"/>
  <c r="N5" i="1"/>
  <c r="M5" i="1"/>
  <c r="M4" i="1" s="1"/>
  <c r="L5" i="1"/>
  <c r="L4" i="1" s="1"/>
  <c r="K5" i="1"/>
  <c r="J5" i="1"/>
  <c r="I5" i="1"/>
  <c r="N4" i="1" l="1"/>
  <c r="N16" i="1"/>
  <c r="R9" i="13"/>
  <c r="Q37" i="2" s="1"/>
  <c r="Q49" i="1"/>
  <c r="Q25" i="2" s="1"/>
  <c r="K4" i="1"/>
  <c r="N76" i="17"/>
  <c r="N72" i="17"/>
  <c r="O45" i="1"/>
  <c r="L16" i="1"/>
  <c r="D64" i="1"/>
  <c r="N72" i="1"/>
  <c r="C25" i="25" l="1"/>
  <c r="C54" i="25"/>
  <c r="C57" i="25" s="1"/>
  <c r="C52" i="25"/>
  <c r="O23" i="16"/>
  <c r="O46" i="1"/>
  <c r="O4" i="15"/>
  <c r="O12" i="1"/>
  <c r="O49" i="1" l="1"/>
  <c r="O16" i="1"/>
  <c r="G38" i="2"/>
  <c r="H38" i="2"/>
  <c r="I38" i="2"/>
  <c r="J38" i="2"/>
  <c r="K38" i="2"/>
  <c r="L38" i="2"/>
  <c r="M38" i="2"/>
  <c r="N38" i="2"/>
  <c r="O38" i="2" l="1"/>
  <c r="C40" i="2" l="1"/>
  <c r="D40" i="2"/>
  <c r="E40" i="2"/>
  <c r="F40" i="2"/>
  <c r="G40" i="2"/>
  <c r="H40" i="2"/>
  <c r="I40" i="2"/>
  <c r="J40" i="2"/>
  <c r="K40" i="2"/>
  <c r="L40" i="2"/>
  <c r="M40" i="2"/>
  <c r="N40" i="2"/>
  <c r="O40" i="2"/>
  <c r="P42" i="2" s="1"/>
  <c r="C41" i="2"/>
  <c r="D41" i="2"/>
  <c r="E41" i="2"/>
  <c r="F41" i="2"/>
  <c r="G41" i="2"/>
  <c r="H41" i="2"/>
  <c r="I41" i="2"/>
  <c r="J41" i="2"/>
  <c r="K41" i="2"/>
  <c r="L41" i="2"/>
  <c r="M41" i="2"/>
  <c r="N41" i="2"/>
  <c r="O41" i="2"/>
  <c r="P43" i="2" s="1"/>
  <c r="B41" i="2"/>
  <c r="B40" i="2"/>
  <c r="G43" i="2" l="1"/>
  <c r="J43" i="2"/>
  <c r="G42" i="2"/>
  <c r="L43" i="2"/>
  <c r="N42" i="2"/>
  <c r="J42" i="2"/>
  <c r="L42" i="2"/>
  <c r="M43" i="2"/>
  <c r="F42" i="2"/>
  <c r="H43" i="2"/>
  <c r="M42" i="2"/>
  <c r="D42" i="2"/>
  <c r="D43" i="2"/>
  <c r="I43" i="2"/>
  <c r="K43" i="2"/>
  <c r="C43" i="2"/>
  <c r="E42" i="2"/>
  <c r="H42" i="2"/>
  <c r="E43" i="2"/>
  <c r="I42" i="2"/>
  <c r="O42" i="2"/>
  <c r="O43" i="2"/>
  <c r="N43" i="2"/>
  <c r="F43" i="2"/>
  <c r="K42" i="2"/>
  <c r="C42" i="2"/>
  <c r="F31" i="2"/>
  <c r="C77" i="1"/>
  <c r="D31" i="2" s="1"/>
  <c r="H28" i="1" l="1"/>
  <c r="G28" i="1"/>
  <c r="G18" i="2" s="1"/>
  <c r="F28" i="1"/>
  <c r="F18" i="2" s="1"/>
  <c r="E28" i="1"/>
  <c r="E18" i="2" s="1"/>
  <c r="D28" i="1"/>
  <c r="D18" i="2" s="1"/>
  <c r="C28" i="1"/>
  <c r="C18" i="2" s="1"/>
  <c r="B28" i="1"/>
  <c r="B18" i="2" s="1"/>
  <c r="H27" i="1"/>
  <c r="H17" i="2" s="1"/>
  <c r="G27" i="1"/>
  <c r="G17" i="2" s="1"/>
  <c r="F27" i="1"/>
  <c r="E27" i="1"/>
  <c r="D27" i="1"/>
  <c r="C27" i="1"/>
  <c r="C17" i="2" s="1"/>
  <c r="B27" i="1"/>
  <c r="H26" i="1"/>
  <c r="H16" i="2" s="1"/>
  <c r="G26" i="1"/>
  <c r="G16" i="2" s="1"/>
  <c r="F26" i="1"/>
  <c r="E26" i="1"/>
  <c r="E16" i="2" s="1"/>
  <c r="D26" i="1"/>
  <c r="D16" i="2" s="1"/>
  <c r="C26" i="1"/>
  <c r="C16" i="2" s="1"/>
  <c r="B26" i="1"/>
  <c r="B16" i="2" s="1"/>
  <c r="H25" i="1"/>
  <c r="H15" i="2" s="1"/>
  <c r="G25" i="1"/>
  <c r="G15" i="2" s="1"/>
  <c r="F25" i="1"/>
  <c r="E25" i="1"/>
  <c r="E15" i="2" s="1"/>
  <c r="D25" i="1"/>
  <c r="C25" i="1"/>
  <c r="C15" i="2" s="1"/>
  <c r="B25" i="1"/>
  <c r="B15" i="2" s="1"/>
  <c r="K15" i="1"/>
  <c r="J15" i="1"/>
  <c r="J11" i="2" s="1"/>
  <c r="I15" i="1"/>
  <c r="I11" i="2" s="1"/>
  <c r="H15" i="1"/>
  <c r="H11" i="2" s="1"/>
  <c r="G11" i="2"/>
  <c r="F15" i="1"/>
  <c r="F11" i="2" s="1"/>
  <c r="E11" i="2"/>
  <c r="D15" i="1"/>
  <c r="D11" i="2" s="1"/>
  <c r="C15" i="1"/>
  <c r="C11" i="2" s="1"/>
  <c r="K14" i="1"/>
  <c r="J14" i="1"/>
  <c r="J10" i="2" s="1"/>
  <c r="I14" i="1"/>
  <c r="I10" i="2" s="1"/>
  <c r="H14" i="1"/>
  <c r="H10" i="2" s="1"/>
  <c r="G14" i="1"/>
  <c r="F14" i="1"/>
  <c r="F10" i="2" s="1"/>
  <c r="E14" i="1"/>
  <c r="E10" i="2" s="1"/>
  <c r="D14" i="1"/>
  <c r="C14" i="1"/>
  <c r="K12" i="1"/>
  <c r="H8" i="2"/>
  <c r="C8" i="2"/>
  <c r="B8" i="2"/>
  <c r="N4" i="2"/>
  <c r="J4" i="2"/>
  <c r="H8" i="1"/>
  <c r="H4" i="2" s="1"/>
  <c r="G8" i="1"/>
  <c r="G4" i="2" s="1"/>
  <c r="F8" i="1"/>
  <c r="F4" i="2" s="1"/>
  <c r="E8" i="1"/>
  <c r="E4" i="2" s="1"/>
  <c r="D8" i="1"/>
  <c r="C8" i="1"/>
  <c r="C4" i="2" s="1"/>
  <c r="B8" i="1"/>
  <c r="B4" i="2" s="1"/>
  <c r="H3" i="2"/>
  <c r="G3" i="2"/>
  <c r="F3" i="2"/>
  <c r="E3" i="2"/>
  <c r="N2" i="2"/>
  <c r="L2" i="2"/>
  <c r="K2" i="2"/>
  <c r="H5" i="1"/>
  <c r="G5" i="1"/>
  <c r="F5" i="1"/>
  <c r="E5" i="1"/>
  <c r="D5" i="1"/>
  <c r="C5" i="1"/>
  <c r="B5" i="1"/>
  <c r="E34" i="2"/>
  <c r="O34" i="1"/>
  <c r="N34" i="1"/>
  <c r="N37" i="1" s="1"/>
  <c r="M34" i="1"/>
  <c r="M37" i="1" s="1"/>
  <c r="L34" i="1"/>
  <c r="L37" i="1" s="1"/>
  <c r="K34" i="1"/>
  <c r="J34" i="1"/>
  <c r="J37" i="1" s="1"/>
  <c r="I34" i="1"/>
  <c r="I37" i="1" s="1"/>
  <c r="D30" i="2"/>
  <c r="C30" i="2"/>
  <c r="B30" i="2"/>
  <c r="D29" i="2"/>
  <c r="C29" i="2"/>
  <c r="B29" i="2"/>
  <c r="D28" i="2"/>
  <c r="C28" i="2"/>
  <c r="B28" i="2"/>
  <c r="F27" i="2"/>
  <c r="D27" i="2"/>
  <c r="C27" i="2"/>
  <c r="B27" i="2"/>
  <c r="O26" i="2"/>
  <c r="N26" i="2"/>
  <c r="M26" i="2"/>
  <c r="L26" i="2"/>
  <c r="K26" i="2"/>
  <c r="J26" i="2"/>
  <c r="I26" i="2"/>
  <c r="H26" i="2"/>
  <c r="G26" i="2"/>
  <c r="F26" i="2"/>
  <c r="E26" i="2"/>
  <c r="D26" i="2"/>
  <c r="C26" i="2"/>
  <c r="B26" i="2"/>
  <c r="O24" i="2"/>
  <c r="N24" i="2"/>
  <c r="M24" i="2"/>
  <c r="L24" i="2"/>
  <c r="K24" i="2"/>
  <c r="J24" i="2"/>
  <c r="I24" i="2"/>
  <c r="H24" i="2"/>
  <c r="G24" i="2"/>
  <c r="F24" i="2"/>
  <c r="E24" i="2"/>
  <c r="D24" i="2"/>
  <c r="C24" i="2"/>
  <c r="B24" i="2"/>
  <c r="O23" i="2"/>
  <c r="N23" i="2"/>
  <c r="M23" i="2"/>
  <c r="L23" i="2"/>
  <c r="K23" i="2"/>
  <c r="J23" i="2"/>
  <c r="I23" i="2"/>
  <c r="H23" i="2"/>
  <c r="G23" i="2"/>
  <c r="F23" i="2"/>
  <c r="E23" i="2"/>
  <c r="D23" i="2"/>
  <c r="B23" i="2"/>
  <c r="B22" i="2"/>
  <c r="O21" i="2"/>
  <c r="N21" i="2"/>
  <c r="M21" i="2"/>
  <c r="L21" i="2"/>
  <c r="K21" i="2"/>
  <c r="J21" i="2"/>
  <c r="I21" i="2"/>
  <c r="H21" i="2"/>
  <c r="G21" i="2"/>
  <c r="F21" i="2"/>
  <c r="E21" i="2"/>
  <c r="D21" i="2"/>
  <c r="C21" i="2"/>
  <c r="B21" i="2"/>
  <c r="O20" i="2"/>
  <c r="N20" i="2"/>
  <c r="M20" i="2"/>
  <c r="L20" i="2"/>
  <c r="K20" i="2"/>
  <c r="J20" i="2"/>
  <c r="I20" i="2"/>
  <c r="H20" i="2"/>
  <c r="G20" i="2"/>
  <c r="F20" i="2"/>
  <c r="E20" i="2"/>
  <c r="D20" i="2"/>
  <c r="C20" i="2"/>
  <c r="B20" i="2"/>
  <c r="O19" i="2"/>
  <c r="N19" i="2"/>
  <c r="M19" i="2"/>
  <c r="L19" i="2"/>
  <c r="K19" i="2"/>
  <c r="J19" i="2"/>
  <c r="I19" i="2"/>
  <c r="H19" i="2"/>
  <c r="G19" i="2"/>
  <c r="F19" i="2"/>
  <c r="E19" i="2"/>
  <c r="D19" i="2"/>
  <c r="C19" i="2"/>
  <c r="B19" i="2"/>
  <c r="O18" i="2"/>
  <c r="N18" i="2"/>
  <c r="M18" i="2"/>
  <c r="L18" i="2"/>
  <c r="K18" i="2"/>
  <c r="J18" i="2"/>
  <c r="I18" i="2"/>
  <c r="H18" i="2"/>
  <c r="O17" i="2"/>
  <c r="N17" i="2"/>
  <c r="M17" i="2"/>
  <c r="L17" i="2"/>
  <c r="K17" i="2"/>
  <c r="J17" i="2"/>
  <c r="I17" i="2"/>
  <c r="O16" i="2"/>
  <c r="N16" i="2"/>
  <c r="M16" i="2"/>
  <c r="L16" i="2"/>
  <c r="K16" i="2"/>
  <c r="J16" i="2"/>
  <c r="I16" i="2"/>
  <c r="F16" i="2"/>
  <c r="O15" i="2"/>
  <c r="N15" i="2"/>
  <c r="M15" i="2"/>
  <c r="L15" i="2"/>
  <c r="K15" i="2"/>
  <c r="J15" i="2"/>
  <c r="I15" i="2"/>
  <c r="D15" i="2"/>
  <c r="O13" i="2"/>
  <c r="N13" i="2"/>
  <c r="M13" i="2"/>
  <c r="L13" i="2"/>
  <c r="K13" i="2"/>
  <c r="J13" i="2"/>
  <c r="I13" i="2"/>
  <c r="H13" i="2"/>
  <c r="G13" i="2"/>
  <c r="F13" i="2"/>
  <c r="E13" i="2"/>
  <c r="D13" i="2"/>
  <c r="C13" i="2"/>
  <c r="B13" i="2"/>
  <c r="O12" i="2"/>
  <c r="N12" i="2"/>
  <c r="M12" i="2"/>
  <c r="L12" i="2"/>
  <c r="K12" i="2"/>
  <c r="J12" i="2"/>
  <c r="I12" i="2"/>
  <c r="H12" i="2"/>
  <c r="G12" i="2"/>
  <c r="F12" i="2"/>
  <c r="E12" i="2"/>
  <c r="D12" i="2"/>
  <c r="C12" i="2"/>
  <c r="B12" i="2"/>
  <c r="O11" i="2"/>
  <c r="N11" i="2"/>
  <c r="M11" i="2"/>
  <c r="L11" i="2"/>
  <c r="O10" i="2"/>
  <c r="N10" i="2"/>
  <c r="M10" i="2"/>
  <c r="L10" i="2"/>
  <c r="G10" i="2"/>
  <c r="B10" i="2"/>
  <c r="O9" i="2"/>
  <c r="N9" i="2"/>
  <c r="M9" i="2"/>
  <c r="L9" i="2"/>
  <c r="K9" i="2"/>
  <c r="J9" i="2"/>
  <c r="I9" i="2"/>
  <c r="H9" i="2"/>
  <c r="G9" i="2"/>
  <c r="F9" i="2"/>
  <c r="E9" i="2"/>
  <c r="D9" i="2"/>
  <c r="C9" i="2"/>
  <c r="B9" i="2"/>
  <c r="O8" i="2"/>
  <c r="N8" i="2"/>
  <c r="M8" i="2"/>
  <c r="L8" i="2"/>
  <c r="J8" i="2"/>
  <c r="I8" i="2"/>
  <c r="G8" i="2"/>
  <c r="F8" i="2"/>
  <c r="E8" i="2"/>
  <c r="D8" i="2"/>
  <c r="O7" i="2"/>
  <c r="N7" i="2"/>
  <c r="M7" i="2"/>
  <c r="L7" i="2"/>
  <c r="K7" i="2"/>
  <c r="J7" i="2"/>
  <c r="I7" i="2"/>
  <c r="H7" i="2"/>
  <c r="G7" i="2"/>
  <c r="F7" i="2"/>
  <c r="E7" i="2"/>
  <c r="D7" i="2"/>
  <c r="C7" i="2"/>
  <c r="B7" i="2"/>
  <c r="O6" i="2"/>
  <c r="N6" i="2"/>
  <c r="M6" i="2"/>
  <c r="L6" i="2"/>
  <c r="K6" i="2"/>
  <c r="J6" i="2"/>
  <c r="I6" i="2"/>
  <c r="H6" i="2"/>
  <c r="G6" i="2"/>
  <c r="F6" i="2"/>
  <c r="E6" i="2"/>
  <c r="D6" i="2"/>
  <c r="C6" i="2"/>
  <c r="B6" i="2"/>
  <c r="O5" i="2"/>
  <c r="N5" i="2"/>
  <c r="M5" i="2"/>
  <c r="L5" i="2"/>
  <c r="K5" i="2"/>
  <c r="J5" i="2"/>
  <c r="I5" i="2"/>
  <c r="H5" i="2"/>
  <c r="G5" i="2"/>
  <c r="F5" i="2"/>
  <c r="E5" i="2"/>
  <c r="D5" i="2"/>
  <c r="C5" i="2"/>
  <c r="B5" i="2"/>
  <c r="O4" i="2"/>
  <c r="M4" i="2"/>
  <c r="L4" i="2"/>
  <c r="K4" i="2"/>
  <c r="I4" i="2"/>
  <c r="D4" i="2"/>
  <c r="O3" i="2"/>
  <c r="N3" i="2"/>
  <c r="M3" i="2"/>
  <c r="L3" i="2"/>
  <c r="K3" i="2"/>
  <c r="J3" i="2"/>
  <c r="I3" i="2"/>
  <c r="D3" i="2"/>
  <c r="C3" i="2"/>
  <c r="B3" i="2"/>
  <c r="O2" i="2"/>
  <c r="M2" i="2"/>
  <c r="O1" i="2"/>
  <c r="N1" i="2"/>
  <c r="M1" i="2"/>
  <c r="L1" i="2"/>
  <c r="K1" i="2"/>
  <c r="J1" i="2"/>
  <c r="I1" i="2"/>
  <c r="H1" i="2"/>
  <c r="G1" i="2"/>
  <c r="F1" i="2"/>
  <c r="E1" i="2"/>
  <c r="D1" i="2"/>
  <c r="C1" i="2"/>
  <c r="B1" i="2"/>
  <c r="B77" i="1"/>
  <c r="B20" i="1"/>
  <c r="B14" i="2" s="1"/>
  <c r="C34" i="2"/>
  <c r="C74" i="1"/>
  <c r="C43" i="1"/>
  <c r="D3" i="15" s="1"/>
  <c r="C20" i="1"/>
  <c r="C21" i="1" s="1"/>
  <c r="D77" i="1"/>
  <c r="D74" i="1"/>
  <c r="D22" i="2"/>
  <c r="D20" i="1"/>
  <c r="D21" i="1" s="1"/>
  <c r="E29" i="2"/>
  <c r="E22" i="2"/>
  <c r="E52" i="1"/>
  <c r="E56" i="1" s="1"/>
  <c r="E20" i="1"/>
  <c r="E14" i="2" s="1"/>
  <c r="F77" i="1"/>
  <c r="F20" i="1"/>
  <c r="F14" i="2" s="1"/>
  <c r="F22" i="2"/>
  <c r="G77" i="1"/>
  <c r="G22" i="2"/>
  <c r="G20" i="1"/>
  <c r="G14" i="2" s="1"/>
  <c r="H77" i="1"/>
  <c r="H22" i="2"/>
  <c r="H20" i="1"/>
  <c r="H21" i="1" s="1"/>
  <c r="I77" i="1"/>
  <c r="I20" i="1"/>
  <c r="I21" i="1" s="1"/>
  <c r="I22" i="2"/>
  <c r="J77" i="1"/>
  <c r="J22" i="2"/>
  <c r="J20" i="1"/>
  <c r="J21" i="1" s="1"/>
  <c r="K77" i="1"/>
  <c r="K45" i="1"/>
  <c r="K20" i="1"/>
  <c r="L77" i="1"/>
  <c r="L22" i="2"/>
  <c r="L20" i="1"/>
  <c r="L14" i="2" s="1"/>
  <c r="M22" i="2"/>
  <c r="M77" i="1"/>
  <c r="M20" i="1"/>
  <c r="M14" i="2" s="1"/>
  <c r="N22" i="2"/>
  <c r="N77" i="1"/>
  <c r="N67" i="1" s="1"/>
  <c r="M72" i="1"/>
  <c r="K72" i="1"/>
  <c r="K67" i="1" s="1"/>
  <c r="J72" i="1"/>
  <c r="J67" i="1" s="1"/>
  <c r="G72" i="1"/>
  <c r="G67" i="1" s="1"/>
  <c r="F72" i="1"/>
  <c r="F67" i="1" s="1"/>
  <c r="B45" i="1"/>
  <c r="B46" i="1" s="1"/>
  <c r="N20" i="1"/>
  <c r="N14" i="2" s="1"/>
  <c r="O21" i="1"/>
  <c r="N60" i="1"/>
  <c r="N59" i="1" s="1"/>
  <c r="M60" i="1"/>
  <c r="L60" i="1"/>
  <c r="J60" i="1"/>
  <c r="I60" i="1"/>
  <c r="I59" i="1" s="1"/>
  <c r="H60" i="1"/>
  <c r="H59" i="1" s="1"/>
  <c r="G60" i="1"/>
  <c r="F60" i="1"/>
  <c r="E60" i="1"/>
  <c r="D60" i="1"/>
  <c r="C60" i="1"/>
  <c r="B60" i="1"/>
  <c r="N44" i="1"/>
  <c r="B14" i="3" s="1"/>
  <c r="B13" i="3"/>
  <c r="L44" i="1"/>
  <c r="B12" i="3" s="1"/>
  <c r="B11" i="3"/>
  <c r="J44" i="1"/>
  <c r="B10" i="3" s="1"/>
  <c r="I44" i="1"/>
  <c r="B9" i="3" s="1"/>
  <c r="H44" i="1"/>
  <c r="B8" i="3" s="1"/>
  <c r="G44" i="1"/>
  <c r="B7" i="3" s="1"/>
  <c r="F44" i="1"/>
  <c r="B6" i="3" s="1"/>
  <c r="E44" i="1"/>
  <c r="B5" i="3" s="1"/>
  <c r="D44" i="1"/>
  <c r="B4" i="3" s="1"/>
  <c r="M67" i="1" l="1"/>
  <c r="K37" i="1"/>
  <c r="K8" i="2"/>
  <c r="K10" i="2"/>
  <c r="K11" i="2"/>
  <c r="K14" i="2"/>
  <c r="O37" i="1"/>
  <c r="K46" i="1"/>
  <c r="G4" i="15"/>
  <c r="G23" i="16"/>
  <c r="H4" i="15"/>
  <c r="H23" i="16"/>
  <c r="K4" i="15"/>
  <c r="K23" i="16"/>
  <c r="L4" i="15"/>
  <c r="L23" i="16"/>
  <c r="N4" i="15"/>
  <c r="N23" i="16"/>
  <c r="C34" i="1"/>
  <c r="C37" i="1" s="1"/>
  <c r="B2" i="2"/>
  <c r="F21" i="1"/>
  <c r="K21" i="1"/>
  <c r="D2" i="2"/>
  <c r="E2" i="2"/>
  <c r="C32" i="2"/>
  <c r="C59" i="1"/>
  <c r="K32" i="2"/>
  <c r="B49" i="1"/>
  <c r="B76" i="1" s="1"/>
  <c r="D32" i="2"/>
  <c r="D59" i="1"/>
  <c r="L32" i="2"/>
  <c r="L59" i="1"/>
  <c r="J32" i="2"/>
  <c r="J59" i="1"/>
  <c r="E32" i="2"/>
  <c r="E59" i="1"/>
  <c r="F32" i="2"/>
  <c r="F59" i="1"/>
  <c r="C23" i="2"/>
  <c r="C42" i="1"/>
  <c r="J16" i="1"/>
  <c r="J23" i="1" s="1"/>
  <c r="J38" i="1" s="1"/>
  <c r="I32" i="2"/>
  <c r="B32" i="2"/>
  <c r="B59" i="1"/>
  <c r="M32" i="2"/>
  <c r="M59" i="1"/>
  <c r="G32" i="2"/>
  <c r="G59" i="1"/>
  <c r="O32" i="2"/>
  <c r="E16" i="1"/>
  <c r="C2" i="2"/>
  <c r="G33" i="2"/>
  <c r="F33" i="2"/>
  <c r="K33" i="2"/>
  <c r="M33" i="2"/>
  <c r="L21" i="1"/>
  <c r="L23" i="1" s="1"/>
  <c r="L38" i="1" s="1"/>
  <c r="H34" i="2"/>
  <c r="I31" i="2"/>
  <c r="B21" i="1"/>
  <c r="N34" i="2"/>
  <c r="O31" i="2"/>
  <c r="L34" i="2"/>
  <c r="M31" i="2"/>
  <c r="G34" i="2"/>
  <c r="H31" i="2"/>
  <c r="O33" i="2"/>
  <c r="B34" i="2"/>
  <c r="C31" i="2"/>
  <c r="I34" i="2"/>
  <c r="J31" i="2"/>
  <c r="J34" i="2"/>
  <c r="K31" i="2"/>
  <c r="D34" i="2"/>
  <c r="E31" i="2"/>
  <c r="J33" i="2"/>
  <c r="M34" i="2"/>
  <c r="N31" i="2"/>
  <c r="K34" i="2"/>
  <c r="L31" i="2"/>
  <c r="F34" i="2"/>
  <c r="G31" i="2"/>
  <c r="B16" i="1"/>
  <c r="C72" i="1"/>
  <c r="L72" i="1"/>
  <c r="L67" i="1" s="1"/>
  <c r="N33" i="2"/>
  <c r="B17" i="2"/>
  <c r="F15" i="2"/>
  <c r="H45" i="1"/>
  <c r="H46" i="1" s="1"/>
  <c r="H49" i="1" s="1"/>
  <c r="E30" i="2"/>
  <c r="J2" i="2"/>
  <c r="G16" i="1"/>
  <c r="I72" i="1"/>
  <c r="I67" i="1" s="1"/>
  <c r="H16" i="1"/>
  <c r="H23" i="1" s="1"/>
  <c r="I16" i="1"/>
  <c r="I23" i="1" s="1"/>
  <c r="I38" i="1" s="1"/>
  <c r="N21" i="1"/>
  <c r="H72" i="1"/>
  <c r="H67" i="1" s="1"/>
  <c r="N45" i="1"/>
  <c r="M45" i="1"/>
  <c r="M46" i="1" s="1"/>
  <c r="M49" i="1" s="1"/>
  <c r="L45" i="1"/>
  <c r="L46" i="1" s="1"/>
  <c r="L49" i="1" s="1"/>
  <c r="I45" i="1"/>
  <c r="I46" i="1" s="1"/>
  <c r="I49" i="1" s="1"/>
  <c r="F45" i="1"/>
  <c r="F46" i="1" s="1"/>
  <c r="F49" i="1" s="1"/>
  <c r="N32" i="2"/>
  <c r="F16" i="1"/>
  <c r="D34" i="1"/>
  <c r="D37" i="1" s="1"/>
  <c r="J45" i="1"/>
  <c r="J46" i="1" s="1"/>
  <c r="J49" i="1" s="1"/>
  <c r="E21" i="1"/>
  <c r="E45" i="1"/>
  <c r="E46" i="1" s="1"/>
  <c r="E49" i="1" s="1"/>
  <c r="D72" i="1"/>
  <c r="C14" i="2"/>
  <c r="I14" i="2"/>
  <c r="K16" i="1"/>
  <c r="E34" i="1"/>
  <c r="E37" i="1" s="1"/>
  <c r="D14" i="2"/>
  <c r="O14" i="2"/>
  <c r="K22" i="2"/>
  <c r="C16" i="1"/>
  <c r="C23" i="1" s="1"/>
  <c r="F34" i="1"/>
  <c r="F37" i="1" s="1"/>
  <c r="G21" i="1"/>
  <c r="D45" i="1"/>
  <c r="D46" i="1" s="1"/>
  <c r="D49" i="1" s="1"/>
  <c r="E27" i="2"/>
  <c r="O34" i="2"/>
  <c r="M16" i="1"/>
  <c r="D16" i="1"/>
  <c r="D23" i="1" s="1"/>
  <c r="B34" i="1"/>
  <c r="B37" i="1" s="1"/>
  <c r="F2" i="2"/>
  <c r="C10" i="2"/>
  <c r="O22" i="2"/>
  <c r="G2" i="2"/>
  <c r="B72" i="1"/>
  <c r="H2" i="2"/>
  <c r="D10" i="2"/>
  <c r="H14" i="2"/>
  <c r="I2" i="2"/>
  <c r="H32" i="2"/>
  <c r="G45" i="1"/>
  <c r="G46" i="1" s="1"/>
  <c r="G49" i="1" s="1"/>
  <c r="J14" i="2"/>
  <c r="D17" i="2"/>
  <c r="H34" i="1"/>
  <c r="H37" i="1" s="1"/>
  <c r="M21" i="1"/>
  <c r="E17" i="2"/>
  <c r="F17" i="2"/>
  <c r="G34" i="1"/>
  <c r="G37" i="1" s="1"/>
  <c r="E4" i="15" l="1"/>
  <c r="D67" i="1"/>
  <c r="D4" i="15"/>
  <c r="C67" i="1"/>
  <c r="C4" i="15"/>
  <c r="B67" i="1"/>
  <c r="J54" i="1"/>
  <c r="L54" i="1"/>
  <c r="I54" i="1"/>
  <c r="K49" i="1"/>
  <c r="C38" i="1"/>
  <c r="I4" i="15"/>
  <c r="I23" i="16"/>
  <c r="J4" i="15"/>
  <c r="J23" i="16"/>
  <c r="M4" i="15"/>
  <c r="M23" i="16"/>
  <c r="N23" i="1"/>
  <c r="N38" i="1" s="1"/>
  <c r="N54" i="1" s="1"/>
  <c r="F23" i="1"/>
  <c r="F38" i="1" s="1"/>
  <c r="B25" i="2"/>
  <c r="G23" i="1"/>
  <c r="G38" i="1" s="1"/>
  <c r="K23" i="1"/>
  <c r="D38" i="1"/>
  <c r="M23" i="1"/>
  <c r="M38" i="1" s="1"/>
  <c r="M54" i="1" s="1"/>
  <c r="E23" i="1"/>
  <c r="E38" i="1" s="1"/>
  <c r="H38" i="1"/>
  <c r="C22" i="2"/>
  <c r="C45" i="1"/>
  <c r="C46" i="1" s="1"/>
  <c r="C49" i="1" s="1"/>
  <c r="L52" i="1"/>
  <c r="L53" i="1" s="1"/>
  <c r="L55" i="1" s="1"/>
  <c r="J52" i="1"/>
  <c r="B79" i="1"/>
  <c r="B35" i="2" s="1"/>
  <c r="I52" i="1"/>
  <c r="L76" i="1"/>
  <c r="L79" i="1" s="1"/>
  <c r="B33" i="2"/>
  <c r="D76" i="1"/>
  <c r="D79" i="1" s="1"/>
  <c r="D33" i="2"/>
  <c r="H33" i="2"/>
  <c r="E25" i="2"/>
  <c r="L33" i="2"/>
  <c r="C33" i="2"/>
  <c r="J25" i="2"/>
  <c r="J76" i="1"/>
  <c r="J79" i="1" s="1"/>
  <c r="L4" i="13" s="1"/>
  <c r="H25" i="2"/>
  <c r="M76" i="1"/>
  <c r="M79" i="1" s="1"/>
  <c r="O4" i="13" s="1"/>
  <c r="M25" i="2"/>
  <c r="F76" i="1"/>
  <c r="F79" i="1" s="1"/>
  <c r="H4" i="13" s="1"/>
  <c r="I76" i="1"/>
  <c r="I79" i="1" s="1"/>
  <c r="K4" i="13" s="1"/>
  <c r="B23" i="1"/>
  <c r="B38" i="1" s="1"/>
  <c r="N46" i="1"/>
  <c r="N49" i="1" s="1"/>
  <c r="I33" i="2"/>
  <c r="F25" i="2"/>
  <c r="D25" i="2"/>
  <c r="I25" i="2"/>
  <c r="E76" i="1"/>
  <c r="O23" i="1"/>
  <c r="E72" i="1"/>
  <c r="G76" i="1"/>
  <c r="G79" i="1" s="1"/>
  <c r="I4" i="13" s="1"/>
  <c r="G25" i="2"/>
  <c r="F23" i="16" l="1"/>
  <c r="E67" i="1"/>
  <c r="H52" i="1"/>
  <c r="H53" i="1" s="1"/>
  <c r="H55" i="1" s="1"/>
  <c r="H54" i="1"/>
  <c r="E54" i="1"/>
  <c r="E53" i="1"/>
  <c r="G52" i="1"/>
  <c r="G27" i="2" s="1"/>
  <c r="G54" i="1"/>
  <c r="F53" i="1"/>
  <c r="F55" i="1" s="1"/>
  <c r="F56" i="1" s="1"/>
  <c r="F54" i="1"/>
  <c r="K38" i="1"/>
  <c r="K54" i="1" s="1"/>
  <c r="K76" i="1"/>
  <c r="K25" i="2"/>
  <c r="E79" i="1"/>
  <c r="E35" i="2" s="1"/>
  <c r="F4" i="15"/>
  <c r="I36" i="2"/>
  <c r="K9" i="13"/>
  <c r="G36" i="2"/>
  <c r="I9" i="13"/>
  <c r="M36" i="2"/>
  <c r="O9" i="13"/>
  <c r="F36" i="2"/>
  <c r="H9" i="13"/>
  <c r="F37" i="2" s="1"/>
  <c r="J36" i="2"/>
  <c r="L9" i="13"/>
  <c r="C25" i="2"/>
  <c r="C76" i="1"/>
  <c r="C79" i="1" s="1"/>
  <c r="C35" i="2" s="1"/>
  <c r="L35" i="2"/>
  <c r="N4" i="13"/>
  <c r="O76" i="1"/>
  <c r="O79" i="1" s="1"/>
  <c r="I53" i="1"/>
  <c r="L27" i="2"/>
  <c r="N52" i="1"/>
  <c r="N53" i="1" s="1"/>
  <c r="N55" i="1" s="1"/>
  <c r="O38" i="1"/>
  <c r="M52" i="1"/>
  <c r="M53" i="1" s="1"/>
  <c r="M55" i="1" s="1"/>
  <c r="J53" i="1"/>
  <c r="J27" i="2"/>
  <c r="L25" i="2"/>
  <c r="D35" i="2"/>
  <c r="N76" i="1"/>
  <c r="N79" i="1" s="1"/>
  <c r="P4" i="13" s="1"/>
  <c r="I35" i="2"/>
  <c r="F35" i="2"/>
  <c r="J35" i="2"/>
  <c r="M35" i="2"/>
  <c r="E33" i="2"/>
  <c r="H76" i="1"/>
  <c r="H79" i="1" s="1"/>
  <c r="J4" i="13" s="1"/>
  <c r="G35" i="2"/>
  <c r="E28" i="2"/>
  <c r="I27" i="2"/>
  <c r="H27" i="2" l="1"/>
  <c r="O54" i="1"/>
  <c r="G53" i="1"/>
  <c r="G55" i="1" s="1"/>
  <c r="G29" i="2" s="1"/>
  <c r="F28" i="2"/>
  <c r="K79" i="1"/>
  <c r="J55" i="1"/>
  <c r="J56" i="1" s="1"/>
  <c r="J30" i="2" s="1"/>
  <c r="K52" i="1"/>
  <c r="I28" i="2"/>
  <c r="I55" i="1"/>
  <c r="G37" i="2"/>
  <c r="J37" i="2"/>
  <c r="L36" i="2"/>
  <c r="N9" i="13"/>
  <c r="H36" i="2"/>
  <c r="J9" i="13"/>
  <c r="H37" i="2" s="1"/>
  <c r="N36" i="2"/>
  <c r="P9" i="13"/>
  <c r="N37" i="2" s="1"/>
  <c r="J28" i="2"/>
  <c r="O52" i="1"/>
  <c r="O53" i="1" s="1"/>
  <c r="O55" i="1" s="1"/>
  <c r="M27" i="2"/>
  <c r="M28" i="2"/>
  <c r="L28" i="2"/>
  <c r="L56" i="1"/>
  <c r="N25" i="2"/>
  <c r="N35" i="2"/>
  <c r="N27" i="2"/>
  <c r="H35" i="2"/>
  <c r="O25" i="2"/>
  <c r="F30" i="2"/>
  <c r="F29" i="2"/>
  <c r="H28" i="2"/>
  <c r="H56" i="1"/>
  <c r="G28" i="2" l="1"/>
  <c r="J29" i="2"/>
  <c r="G56" i="1"/>
  <c r="G30" i="2" s="1"/>
  <c r="K53" i="1"/>
  <c r="K27" i="2"/>
  <c r="M4" i="13"/>
  <c r="K35" i="2"/>
  <c r="I37" i="2"/>
  <c r="M37" i="2"/>
  <c r="I56" i="1"/>
  <c r="I30" i="2" s="1"/>
  <c r="I29" i="2"/>
  <c r="L29" i="2"/>
  <c r="L30" i="2"/>
  <c r="N28" i="2"/>
  <c r="N56" i="1"/>
  <c r="O27" i="2"/>
  <c r="H29" i="2"/>
  <c r="H30" i="2"/>
  <c r="K55" i="1" l="1"/>
  <c r="K28" i="2"/>
  <c r="M9" i="13"/>
  <c r="K36" i="2"/>
  <c r="Q4" i="13"/>
  <c r="Q9" i="13" s="1"/>
  <c r="P37" i="2" s="1"/>
  <c r="M29" i="2"/>
  <c r="M56" i="1"/>
  <c r="M30" i="2" s="1"/>
  <c r="N29" i="2"/>
  <c r="N30" i="2"/>
  <c r="O35" i="2"/>
  <c r="O28" i="2"/>
  <c r="O56" i="1"/>
  <c r="K37" i="2" l="1"/>
  <c r="L37" i="2"/>
  <c r="K56" i="1"/>
  <c r="K29" i="2"/>
  <c r="O17" i="1"/>
  <c r="O36" i="2"/>
  <c r="O29" i="2"/>
  <c r="K30" i="2" l="1"/>
  <c r="O37" i="2"/>
  <c r="O3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tc={1C1B6EEF-A188-0645-B225-F1240D6FBB2E}</author>
    <author>Simon Lord</author>
    <author>tc={FA908D49-1118-2E47-AC34-B47049AD6A2E}</author>
    <author>tc={6BC24C7A-3AF9-E04F-9E0E-AD465FA2CB90}</author>
    <author>tc={E58178DD-1E02-A24A-8D88-55BAB1DCD4EB}</author>
    <author>tc={EA611013-DE5C-3847-990F-B9E7D98D0F01}</author>
    <author>tc={B5E3658E-70E3-E04A-A64D-ED8C0C8B1EA3}</author>
    <author>tc={082EDCF7-D6BD-9A40-9642-CB2B41D33C9D}</author>
    <author>tc={62C138AB-7A49-2D46-9047-DFF726A68F1B}</author>
    <author>tc={E5BA9D06-E15E-B947-9101-358228BD11BC}</author>
    <author>tc={FD28498A-FEB1-DA4F-AD94-88EA7DC15FAB}</author>
    <author>tc={3016DB58-FDFA-C74E-89D3-1EE94377E4CC}</author>
    <author>tc={CB7CC5DE-5678-354A-BE14-38076330C740}</author>
    <author>tc={BEBD6BA1-4B93-E24C-A22F-5D5636123460}</author>
    <author>tc={D16C2BA3-D0FC-BC44-BB8E-1B5BF10DBF05}</author>
    <author>tc={BE009872-3277-D34D-8CB8-AAAEC9F74ECF}</author>
    <author>tc={D84A0F33-5E21-CB42-8EC7-9C8E5D6F478D}</author>
  </authors>
  <commentList>
    <comment ref="A3" authorId="0" shapeId="0" xr:uid="{00000000-0006-0000-0000-00000100000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Les totaux se trouvent dans au état consolisé mais par secteur de reddition de compte à l’Annexe 2 du Volume 1. Attention pour années ou revenus du fonds des générations est séparé dans une autre catégorie au état consolidé</t>
      </text>
    </comment>
    <comment ref="I5" authorId="1" shapeId="0" xr:uid="{00000000-0006-0000-0000-000002000000}">
      <text>
        <r>
          <rPr>
            <b/>
            <sz val="9"/>
            <color indexed="81"/>
            <rFont val="Calibri"/>
            <family val="2"/>
          </rPr>
          <t>Simon Lord:</t>
        </r>
        <r>
          <rPr>
            <sz val="9"/>
            <color indexed="81"/>
            <rFont val="Calibri"/>
            <family val="2"/>
          </rPr>
          <t xml:space="preserve">
En 2013, les comptes disent "En lien avec la législation fiscale, les crédits d’impôt remboursables réduisent les revenus fiscaux afférents. Pour les états financiers consolidés du gouvernement, lorsque ces crédits constituent des transferts effectués par le truchement du régime fiscal, ils sont reclassés et présentés dans les dépenses, augmentant ainsi les revenus." Il n'y a pas de mention du genre pour les années précédentes, et en 2012, on peut lire, à la page qui présente les crédits d'impôt, "Les revenus provenant de l’impôt sur le revenu et les biens sont inscrits une fois déduites les sommes présentées ci-dessous." Les impôts sont donc présentés différemment avant et après 2013. Avant 2013 on a déjà les impôts nets, alors pour tenir compte de ça, j'ai supprimé la soustraction des dépenses fiscales pré-2013 de la ligne 5 "Impôts nets" et je l'ai les rajoutée plus bas dans les dépenses de soutien à aux familles pour que ça balance et que ça corrige les cassures. (Le total des revenus autonomes qu'on aura ici pour les années avant 2013 ne correspondront plus à ce qui est présenté dans les livres des comptes par contre.) J'ai fait la même chose pour les impôts des sociétés. 
</t>
        </r>
      </text>
    </comment>
    <comment ref="H6" authorId="1" shapeId="0" xr:uid="{00000000-0006-0000-0000-000003000000}">
      <text>
        <r>
          <rPr>
            <b/>
            <sz val="9"/>
            <color rgb="FF000000"/>
            <rFont val="Calibri"/>
            <family val="2"/>
          </rPr>
          <t>Simon Lord:</t>
        </r>
        <r>
          <rPr>
            <sz val="9"/>
            <color rgb="FF000000"/>
            <rFont val="Calibri"/>
            <family val="2"/>
          </rPr>
          <t xml:space="preserve">
</t>
        </r>
        <r>
          <rPr>
            <sz val="9"/>
            <color rgb="FF000000"/>
            <rFont val="Calibri"/>
            <family val="2"/>
          </rPr>
          <t xml:space="preserve">Pour 2013, le crédit d'impôt pour la solidarité n'apparaît plus dans la liste des dépenses fiscales, d'où la cassure qu'il y a ici si on prend seulement le total des crédits d'impôt. Pour que la série continue de correspondre à la série pour 2013+, on devrait donc soustrair le crédit ici (et l'additionner dans l'impôt net). Pour les années précédentes, voir la not dans la cellule G12 (et aussi H12).
</t>
        </r>
        <r>
          <rPr>
            <sz val="9"/>
            <color rgb="FF000000"/>
            <rFont val="Calibri"/>
            <family val="2"/>
          </rPr>
          <t xml:space="preserve">
</t>
        </r>
      </text>
    </comment>
    <comment ref="G12" authorId="1" shapeId="0" xr:uid="{00000000-0006-0000-0000-000004000000}">
      <text>
        <r>
          <rPr>
            <b/>
            <sz val="9"/>
            <color rgb="FF000000"/>
            <rFont val="Calibri"/>
            <family val="2"/>
          </rPr>
          <t>Simon Lord:</t>
        </r>
        <r>
          <rPr>
            <sz val="9"/>
            <color rgb="FF000000"/>
            <rFont val="Calibri"/>
            <family val="2"/>
          </rPr>
          <t xml:space="preserve">
</t>
        </r>
        <r>
          <rPr>
            <sz val="9"/>
            <color rgb="FF000000"/>
            <rFont val="Calibri"/>
            <family val="2"/>
          </rPr>
          <t xml:space="preserve">À compter du 1er juillet 2011, le nouveau crédit d’impôt pour la solidarité intègre le remboursement d’impôts fonciers, le crédit d’impôt pour la taxe de vente et le crédit d’impôt pour les particuliers habitant un village nordique. 
</t>
        </r>
        <r>
          <rPr>
            <sz val="9"/>
            <color rgb="FF000000"/>
            <rFont val="Calibri"/>
            <family val="2"/>
          </rPr>
          <t xml:space="preserve">Il faut donc soustraire ces crédits ici. Voir aussi la note dans la cellule H12.
</t>
        </r>
      </text>
    </comment>
    <comment ref="H12" authorId="1" shapeId="0" xr:uid="{00000000-0006-0000-0000-000005000000}">
      <text>
        <r>
          <rPr>
            <b/>
            <sz val="9"/>
            <color rgb="FF000000"/>
            <rFont val="Calibri"/>
            <family val="2"/>
          </rPr>
          <t xml:space="preserve">Simon Lord:
</t>
        </r>
        <r>
          <rPr>
            <sz val="9"/>
            <color rgb="FF000000"/>
            <rFont val="Calibri"/>
            <family val="2"/>
          </rPr>
          <t xml:space="preserve">Le bond cette année-là s'explique par une hausse des revenus de taxes à la consommation (14 807 à 16 620), mais plus précisément des hausses de taxes des ventes de 11 577 à 13 203 qui résulte notamment de l’augmentation des revenus de taxe sur les ventes attribuable principalement aux hausses respectives d’un point de pourcentage du taux de la TVQ le 1er janvier 2011 et le
</t>
        </r>
        <r>
          <rPr>
            <sz val="9"/>
            <color rgb="FF000000"/>
            <rFont val="Calibri"/>
            <family val="2"/>
          </rPr>
          <t xml:space="preserve">1er janvier 2012;
</t>
        </r>
        <r>
          <rPr>
            <sz val="9"/>
            <color rgb="FF000000"/>
            <rFont val="Calibri"/>
            <family val="2"/>
          </rPr>
          <t xml:space="preserve">
</t>
        </r>
        <r>
          <rPr>
            <sz val="9"/>
            <color rgb="FF000000"/>
            <rFont val="Calibri"/>
            <family val="2"/>
          </rPr>
          <t xml:space="preserve">Il y a cette note en 2013:
</t>
        </r>
        <r>
          <rPr>
            <sz val="9"/>
            <color rgb="FF000000"/>
            <rFont val="Calibri"/>
            <family val="2"/>
          </rPr>
          <t xml:space="preserve">"Le crédit d’impôt pour la solidarité, d’une valeur de 1 703 millions de dollars au 31 mars 2013 (de 1 090 millions de dollars au 31 mars 2012), constitue un dégrèvement car il vise à rembourser certaines taxes aux ménages à faible revenu. Ce crédit d’impôt remboursable est présenté par conséquent en réduction des revenus des taxes à la consommation."
</t>
        </r>
        <r>
          <rPr>
            <sz val="9"/>
            <color rgb="FF000000"/>
            <rFont val="Calibri"/>
            <family val="2"/>
          </rPr>
          <t>Il faut donc ici soustraire le crédit et faire de même pour les années précédentes.</t>
        </r>
      </text>
    </comment>
    <comment ref="C14" authorId="1" shapeId="0" xr:uid="{00000000-0006-0000-0000-000006000000}">
      <text>
        <r>
          <rPr>
            <b/>
            <sz val="9"/>
            <color rgb="FF000000"/>
            <rFont val="Calibri"/>
            <family val="2"/>
          </rPr>
          <t>Simon Lord:</t>
        </r>
        <r>
          <rPr>
            <sz val="9"/>
            <color rgb="FF000000"/>
            <rFont val="Calibri"/>
            <family val="2"/>
          </rPr>
          <t xml:space="preserve">
</t>
        </r>
        <r>
          <rPr>
            <sz val="9"/>
            <color rgb="FF000000"/>
            <rFont val="Calibri"/>
            <family val="2"/>
          </rPr>
          <t xml:space="preserve">Le 500 M$ = Revenus provenant de la vente de la participation
</t>
        </r>
        <r>
          <rPr>
            <sz val="9"/>
            <color rgb="FF000000"/>
            <rFont val="Calibri"/>
            <family val="2"/>
          </rPr>
          <t xml:space="preserve">d'Hydro-Québec dans Transelec Chile
</t>
        </r>
      </text>
    </comment>
    <comment ref="I14" authorId="1" shapeId="0" xr:uid="{00000000-0006-0000-0000-000007000000}">
      <text>
        <r>
          <rPr>
            <b/>
            <sz val="9"/>
            <color rgb="FF000000"/>
            <rFont val="Calibri"/>
            <family val="2"/>
          </rPr>
          <t>Simon Lord:</t>
        </r>
        <r>
          <rPr>
            <sz val="9"/>
            <color rgb="FF000000"/>
            <rFont val="Calibri"/>
            <family val="2"/>
          </rPr>
          <t xml:space="preserve">
</t>
        </r>
        <r>
          <rPr>
            <sz val="9"/>
            <color rgb="FF000000"/>
            <rFont val="Calibri"/>
            <family val="2"/>
          </rPr>
          <t xml:space="preserve">La diminution s'explique par un perte provenant des activités
</t>
        </r>
        <r>
          <rPr>
            <sz val="9"/>
            <color rgb="FF000000"/>
            <rFont val="Calibri"/>
            <family val="2"/>
          </rPr>
          <t>abandonnées consécutive à la fermeture de la centrale nucléaire de Gentilly-2</t>
        </r>
      </text>
    </comment>
    <comment ref="H15" authorId="1" shapeId="0" xr:uid="{00000000-0006-0000-0000-000008000000}">
      <text>
        <r>
          <rPr>
            <b/>
            <sz val="9"/>
            <color indexed="81"/>
            <rFont val="Calibri"/>
            <family val="2"/>
          </rPr>
          <t>Simon Lord:</t>
        </r>
        <r>
          <rPr>
            <sz val="9"/>
            <color indexed="81"/>
            <rFont val="Calibri"/>
            <family val="2"/>
          </rPr>
          <t xml:space="preserve">
La cassure est due à une hausse de la catégorie "Ventes de biens et services" de 3525 à 5017. Je n'ai pas trouvé de ventilation de cette catégorie pour voir précisément ce qui causait cette hausse.
 </t>
        </r>
      </text>
    </comment>
    <comment ref="A17" authorId="2" shapeId="0" xr:uid="{00000000-0006-0000-0000-00000900000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Information au poste 4 des états financiers (volume 1)
</t>
      </text>
    </comment>
    <comment ref="A24" authorId="3" shapeId="0" xr:uid="{00000000-0006-0000-0000-00000A00000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détail par poste se trouve en Annexe 6 du volume 1</t>
      </text>
    </comment>
    <comment ref="H28" authorId="1" shapeId="0" xr:uid="{00000000-0006-0000-0000-00000B000000}">
      <text>
        <r>
          <rPr>
            <b/>
            <sz val="9"/>
            <color indexed="81"/>
            <rFont val="Calibri"/>
            <family val="2"/>
          </rPr>
          <t>Simon Lord:</t>
        </r>
        <r>
          <rPr>
            <sz val="9"/>
            <color indexed="81"/>
            <rFont val="Calibri"/>
            <family val="2"/>
          </rPr>
          <t xml:space="preserve">
Dans les comptes de 2013, dans le tableau à la page 31, il y a un tableau qui présente les dépenses de 2013 vs 2012. Il n’y a pas de cassure (apparente). Mais la colonne qui présente les chiffres des 2012 a une note de bas de tableau qui indique « Certains chiffres de l’année 2011-2012 ont été reclassés pour les rendre conformes à la présentation adoptée au 31 mars 2013 ». (Il y a la même note pour le tableau de 2011, de 2014, etc.) Il y a également une note là-dessus à la fin des comptes à la page 158, mais c’est la même note que la note du tableau. 
Si on regarde dans les conventions comptables de 2013 (et plus récent), dans la section sur les revenus, on voit la note suivante : « En lien avec la législation fiscale, les crédits d’impôt remboursables réduisent les revenus fiscaux afférents. Pour les états financiers consolidés du gouvernement, lorsque ces crédits constituent des transferts effectués par le truchement du régime fiscal, ils sont reclassés et présentés dans les dépenses ». Il n’y a pas de note du genre pour les comptes de 2012 (et plus vieux).
Pré-2013, il faut rajouter les crédits dans les bonnes missions. Les crédits dans la catégorie "autres" devraient en théorie êtres divisées dans leurs missions respectives, comme c'est fait en 2013+, sauf que je n'ai pas trouvé ce détail-là avant 2013. Je les ai mis dans "Soutien aux familles"</t>
        </r>
      </text>
    </comment>
    <comment ref="Q38" authorId="4" shapeId="0" xr:uid="{E58178DD-1E02-A24A-8D88-55BAB1DCD4EB}">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1250 = Provision pour risques économiques et autres mesures de soutien et de relance
632 : Changement d’application de la norme comptable
sur les paiements de transfert</t>
      </text>
    </comment>
    <comment ref="A39" authorId="5" shapeId="0" xr:uid="{00000000-0006-0000-0000-00000C00000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Section 12 des États-Financiers. Ne prendre que revenus de placement de portefeuille a part et le reste dans revenu général</t>
      </text>
    </comment>
    <comment ref="C40" authorId="1" shapeId="0" xr:uid="{00000000-0006-0000-0000-00000D000000}">
      <text>
        <r>
          <rPr>
            <b/>
            <sz val="9"/>
            <color rgb="FF000000"/>
            <rFont val="Calibri"/>
            <family val="2"/>
          </rPr>
          <t>Simon Lord:</t>
        </r>
        <r>
          <rPr>
            <sz val="9"/>
            <color rgb="FF000000"/>
            <rFont val="Calibri"/>
            <family val="2"/>
          </rPr>
          <t xml:space="preserve">
</t>
        </r>
        <r>
          <rPr>
            <sz val="9"/>
            <color rgb="FF000000"/>
            <rFont val="Calibri"/>
            <family val="2"/>
          </rPr>
          <t xml:space="preserve">Fonds des générations créé le 1er janvier 2007
</t>
        </r>
      </text>
    </comment>
    <comment ref="A50" authorId="6" shapeId="0" xr:uid="{00000000-0006-0000-0000-00000E00000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Poste 5, Loi sur l’équilibre budgétaire dans volume 1</t>
      </text>
    </comment>
    <comment ref="F53" authorId="1" shapeId="0" xr:uid="{00000000-0006-0000-0000-00000F000000}">
      <text>
        <r>
          <rPr>
            <b/>
            <sz val="9"/>
            <color rgb="FF000000"/>
            <rFont val="Calibri"/>
            <family val="2"/>
          </rPr>
          <t xml:space="preserve">Simon Lord: Le 58 M$ est dû à des modifications comptables faites en 2010.
</t>
        </r>
        <r>
          <rPr>
            <sz val="9"/>
            <color rgb="FF000000"/>
            <rFont val="Calibri"/>
            <family val="2"/>
          </rPr>
          <t xml:space="preserve">
</t>
        </r>
      </text>
    </comment>
    <comment ref="E55" authorId="1" shapeId="0" xr:uid="{00000000-0006-0000-0000-000010000000}">
      <text>
        <r>
          <rPr>
            <b/>
            <sz val="9"/>
            <color rgb="FF000000"/>
            <rFont val="Calibri"/>
            <family val="2"/>
          </rPr>
          <t>Simon Lord:</t>
        </r>
        <r>
          <rPr>
            <sz val="9"/>
            <color rgb="FF000000"/>
            <rFont val="Calibri"/>
            <family val="2"/>
          </rPr>
          <t xml:space="preserve">
</t>
        </r>
        <r>
          <rPr>
            <sz val="9"/>
            <color rgb="FF000000"/>
            <rFont val="Calibri"/>
            <family val="2"/>
          </rPr>
          <t>Versement au Fonds des générations, et Affectation du solde de l'excédent constaté de l'année financière 2006-2007.</t>
        </r>
      </text>
    </comment>
    <comment ref="B56" authorId="1" shapeId="0" xr:uid="{00000000-0006-0000-0000-000011000000}">
      <text>
        <r>
          <rPr>
            <b/>
            <sz val="9"/>
            <color rgb="FF000000"/>
            <rFont val="Calibri"/>
            <family val="2"/>
          </rPr>
          <t>Simon Lord:</t>
        </r>
        <r>
          <rPr>
            <sz val="9"/>
            <color rgb="FF000000"/>
            <rFont val="Calibri"/>
            <family val="2"/>
          </rPr>
          <t xml:space="preserve">
</t>
        </r>
        <r>
          <rPr>
            <sz val="9"/>
            <color rgb="FF000000"/>
            <rFont val="Calibri"/>
            <family val="2"/>
          </rPr>
          <t>Ce chiffre provient d'une note dans l'annexe.</t>
        </r>
      </text>
    </comment>
    <comment ref="D56" authorId="1" shapeId="0" xr:uid="{00000000-0006-0000-0000-000012000000}">
      <text>
        <r>
          <rPr>
            <b/>
            <sz val="9"/>
            <color indexed="81"/>
            <rFont val="Calibri"/>
            <family val="2"/>
          </rPr>
          <t>Simon Lord:</t>
        </r>
        <r>
          <rPr>
            <sz val="9"/>
            <color indexed="81"/>
            <rFont val="Calibri"/>
            <family val="2"/>
          </rPr>
          <t xml:space="preserve">
La réserve de stabilisation a été créée en 2009. Avant, il y avait la réserve budgétaire. Comme le suggérais PC, j'ai mis seulement le solde cette réserve.
</t>
        </r>
      </text>
    </comment>
    <comment ref="A59" authorId="7" shapeId="0" xr:uid="{00000000-0006-0000-0000-00001300000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On l’obtient par résidu du changement de la dette </t>
      </text>
    </comment>
    <comment ref="O60" authorId="8" shapeId="0" xr:uid="{00000000-0006-0000-0000-00001400000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Ce montant n’est pas explicite. Mais il y a un footnote 2 sur la dette en dollar canadien de rachat de dettes canadiennes qui totalisent pas exactement 8G. Donc on met le 8G d’en haut et la différence se retrouve dans l’ajustement du flux sur la dette (résidu). </t>
      </text>
    </comment>
    <comment ref="Q60" authorId="9" shapeId="0" xr:uid="{E5BA9D06-E15E-B947-9101-358228BD11BC}">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Budget 2020-2021 p.405</t>
      </text>
    </comment>
    <comment ref="A61" authorId="10" shapeId="0" xr:uid="{00000000-0006-0000-0000-00001500000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Section 18 des états financiers consolidés, Vol 1</t>
      </text>
    </comment>
    <comment ref="Q62" authorId="11" shapeId="0" xr:uid="{3016DB58-FDFA-C74E-89D3-1EE94377E4CC}">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Même croissance</t>
      </text>
    </comment>
    <comment ref="Q63" authorId="12" shapeId="0" xr:uid="{CB7CC5DE-5678-354A-BE14-38076330C74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Même croissance</t>
      </text>
    </comment>
    <comment ref="A64" authorId="13" shapeId="0" xr:uid="{00000000-0006-0000-0000-00001600000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Cette ligne devrait matcher ce qui est au blian de la dette brutte. </t>
      </text>
    </comment>
    <comment ref="A66" authorId="14" shapeId="0" xr:uid="{D16C2BA3-D0FC-BC44-BB8E-1B5BF10DBF05}">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Section 6 du Volume 1 Analyse des principales tendances
</t>
      </text>
    </comment>
    <comment ref="A71" authorId="15" shapeId="0" xr:uid="{00000000-0006-0000-0000-00001700000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Section 6 du Volume 1 Analyse des principales tendances
</t>
      </text>
    </comment>
    <comment ref="B74" authorId="1" shapeId="0" xr:uid="{00000000-0006-0000-0000-000018000000}">
      <text>
        <r>
          <rPr>
            <b/>
            <sz val="9"/>
            <color rgb="FF000000"/>
            <rFont val="Calibri"/>
            <family val="2"/>
          </rPr>
          <t>Simon Lord:</t>
        </r>
        <r>
          <rPr>
            <sz val="9"/>
            <color rgb="FF000000"/>
            <rFont val="Calibri"/>
            <family val="2"/>
          </rPr>
          <t xml:space="preserve">
</t>
        </r>
        <r>
          <rPr>
            <sz val="9"/>
            <color rgb="FF000000"/>
            <rFont val="Calibri"/>
            <family val="2"/>
          </rPr>
          <t xml:space="preserve">Pour 2007 et 2008, il a fallu ajouter les avantages sociaux futurs à la main pour que ça concorde avec les années suivantes. Mais pour 2007, je n'ai pas trouvé ce chiffre.
</t>
        </r>
      </text>
    </comment>
    <comment ref="D77" authorId="1" shapeId="0" xr:uid="{00000000-0006-0000-0000-000019000000}">
      <text>
        <r>
          <rPr>
            <b/>
            <sz val="9"/>
            <color rgb="FF000000"/>
            <rFont val="Calibri"/>
            <family val="2"/>
          </rPr>
          <t>Simon Lord:</t>
        </r>
        <r>
          <rPr>
            <sz val="9"/>
            <color rgb="FF000000"/>
            <rFont val="Calibri"/>
            <family val="2"/>
          </rPr>
          <t xml:space="preserve">
</t>
        </r>
        <r>
          <rPr>
            <sz val="9"/>
            <color rgb="FF000000"/>
            <rFont val="Calibri"/>
            <family val="2"/>
          </rPr>
          <t>Infos sur le 25 M$ (p.34), un montant exclu de la dette pour financer les réseaux de la santé et des services sociaux et de l'éducation: "Excluant 25 millions de dollars (31 millions de dollars en 2007) pour un organisme fiduciaire et un sans but lucratif."</t>
        </r>
      </text>
    </comment>
    <comment ref="E77" authorId="1" shapeId="0" xr:uid="{00000000-0006-0000-0000-00001A000000}">
      <text>
        <r>
          <rPr>
            <b/>
            <sz val="9"/>
            <color rgb="FF000000"/>
            <rFont val="Calibri"/>
            <family val="2"/>
          </rPr>
          <t>Simon Lord:</t>
        </r>
        <r>
          <rPr>
            <sz val="9"/>
            <color rgb="FF000000"/>
            <rFont val="Calibri"/>
            <family val="2"/>
          </rPr>
          <t xml:space="preserve">
</t>
        </r>
        <r>
          <rPr>
            <sz val="9"/>
            <color rgb="FF000000"/>
            <rFont val="Calibri"/>
            <family val="2"/>
          </rPr>
          <t>J'ai revérifié, et je n'ai pas trouvé les emprunts par anticipation.</t>
        </r>
      </text>
    </comment>
    <comment ref="B79" authorId="1" shapeId="0" xr:uid="{00000000-0006-0000-0000-00001B000000}">
      <text>
        <r>
          <rPr>
            <b/>
            <sz val="9"/>
            <color rgb="FF000000"/>
            <rFont val="Calibri"/>
            <family val="2"/>
          </rPr>
          <t>Simon Lord:</t>
        </r>
        <r>
          <rPr>
            <sz val="9"/>
            <color rgb="FF000000"/>
            <rFont val="Calibri"/>
            <family val="2"/>
          </rPr>
          <t xml:space="preserve">
</t>
        </r>
        <r>
          <rPr>
            <sz val="9"/>
            <color rgb="FF000000"/>
            <rFont val="Calibri"/>
            <family val="2"/>
          </rPr>
          <t>Je n'ai pas trouvé la dette bute présentée explicitement dans les comptes. Le calcule me semble juste, mais ce serait bien de revérifier.</t>
        </r>
      </text>
    </comment>
    <comment ref="C79" authorId="1" shapeId="0" xr:uid="{00000000-0006-0000-0000-00001C000000}">
      <text>
        <r>
          <rPr>
            <b/>
            <sz val="9"/>
            <color rgb="FF000000"/>
            <rFont val="Calibri"/>
            <family val="2"/>
          </rPr>
          <t>Simon Lord:</t>
        </r>
        <r>
          <rPr>
            <sz val="9"/>
            <color rgb="FF000000"/>
            <rFont val="Calibri"/>
            <family val="2"/>
          </rPr>
          <t xml:space="preserve">
</t>
        </r>
        <r>
          <rPr>
            <sz val="9"/>
            <color rgb="FF000000"/>
            <rFont val="Calibri"/>
            <family val="2"/>
          </rPr>
          <t xml:space="preserve">31 M$= "Excluant 31 millions de dollars pour un organisme fiduciaire et un sans but lucratif."
</t>
        </r>
      </text>
    </comment>
    <comment ref="E79" authorId="1" shapeId="0" xr:uid="{00000000-0006-0000-0000-00001D000000}">
      <text>
        <r>
          <rPr>
            <b/>
            <sz val="9"/>
            <color rgb="FF000000"/>
            <rFont val="Calibri"/>
            <family val="2"/>
          </rPr>
          <t>Simon Lord:</t>
        </r>
        <r>
          <rPr>
            <sz val="9"/>
            <color rgb="FF000000"/>
            <rFont val="Calibri"/>
            <family val="2"/>
          </rPr>
          <t xml:space="preserve">
</t>
        </r>
        <r>
          <rPr>
            <sz val="9"/>
            <color rgb="FF000000"/>
            <rFont val="Calibri"/>
            <family val="2"/>
          </rPr>
          <t>Pour 2009, il n’y a pas de tableau pour la dette brute comme pour les années suivantes. Il faut donc fouiller un peu pour trouver les chiffres. Le montant pour les régimes de retraite est là et on a aussi le solde du Fonds des générations, qu’il faut soustraire. Par contre, le texte explique : « La dette brute est constituée des dettes avant les gains (pertes) de change reportés et du passif au titre des régimes de retraite et des autres avantages sociaux futurs, desquels est soustrait le solde du Fonds des générations. Les avances du Fonds de financement aux entreprises du gouvernement et aux entités hors périmètre comptable sont exclues de ce calcul. » On arrive assez proche, mais on n'a pas exactement le même chiffre : on arrive à 159,98 G$, alors que le texte dit « Le niveau de la dette s’établissait à […] 159,5 milliards de dollars au 31 mars 2009.].</t>
        </r>
      </text>
    </comment>
    <comment ref="Q84" authorId="16" shapeId="0" xr:uid="{D84A0F33-5E21-CB42-8EC7-9C8E5D6F478D}">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Changement de norme.  Voir p.467 et 503.  Les prévisions sont disponible, mais il n'inclu pas les actifs non financiers qui ne sont pas immo.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tc={BF969C99-A043-BC40-9CDC-6E2A39259CE8}</author>
  </authors>
  <commentList>
    <comment ref="R6" authorId="0" shapeId="0" xr:uid="{BF969C99-A043-BC40-9CDC-6E2A39259CE8}">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Taux d’inflation issu du budget 2021-2022 (page 367)</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tc={04A830C1-6B23-274F-BACC-1AD9DC0B8373}</author>
    <author>tc={02459DE1-0441-384D-BA69-28ED89F79BBC}</author>
    <author>tc={A63B3A41-64F3-134F-9B02-90FAF9B2BFE2}</author>
    <author>tc={DD46EE11-2D76-6C42-9A17-16006FCFDE3C}</author>
  </authors>
  <commentList>
    <comment ref="G4" authorId="0" shapeId="0" xr:uid="{04A830C1-6B23-274F-BACC-1AD9DC0B8373}">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Part de la dette brute dans le PIB de 2004 à 2009 : ANALYSE DES ÉTATS FINANCIERS 2009-2010</t>
      </text>
    </comment>
    <comment ref="R4" authorId="1" shapeId="0" xr:uid="{02459DE1-0441-384D-BA69-28ED89F79BBC}">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43,2% Issu du budget 2021-2022</t>
      </text>
    </comment>
    <comment ref="S4" authorId="2" shapeId="0" xr:uid="{A63B3A41-64F3-134F-9B02-90FAF9B2BFE2}">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49,5% Issu du budget 2021-2022</t>
      </text>
    </comment>
    <comment ref="S10" authorId="3" shapeId="0" xr:uid="{DD46EE11-2D76-6C42-9A17-16006FCFDE3C}">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Taux d’inflation de 1,9% issu du plan budgétaire 2021+2022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tc={58EEEEBF-4474-A74E-8AFF-59C5AF10DAF5}</author>
  </authors>
  <commentList>
    <comment ref="B17" authorId="0" shapeId="0" xr:uid="{58EEEEBF-4474-A74E-8AFF-59C5AF10DAF5}">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Budget 2021-2022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tc={36116247-58D1-9447-8B97-CEE37E235F6C}</author>
    <author>tc={5CA08A8A-ED48-6241-9F89-C4E940615440}</author>
  </authors>
  <commentList>
    <comment ref="A14" authorId="0" shapeId="0" xr:uid="{36116247-58D1-9447-8B97-CEE37E235F6C}">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Données disponibles dans chaque compte public</t>
      </text>
    </comment>
    <comment ref="I77" authorId="1" shapeId="0" xr:uid="{5CA08A8A-ED48-6241-9F89-C4E94061544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Budget 2020-2021 : page 379</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tc={1B98CDAB-874D-AB4F-A691-5FFA5CF49629}</author>
    <author>tc={0B5BF02E-2985-F245-B55C-10CC5A4D55C7}</author>
  </authors>
  <commentList>
    <comment ref="A14" authorId="0" shapeId="0" xr:uid="{1B98CDAB-874D-AB4F-A691-5FFA5CF49629}">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Données disponibles dans chaque compte public</t>
      </text>
    </comment>
    <comment ref="I77" authorId="1" shapeId="0" xr:uid="{0B5BF02E-2985-F245-B55C-10CC5A4D55C7}">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Budget 2020-2021 : page 379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tc={CBF9C039-A4D1-4204-8068-BE534C9A0643}</author>
  </authors>
  <commentList>
    <comment ref="K30" authorId="0" shapeId="0" xr:uid="{CBF9C039-A4D1-4204-8068-BE534C9A0643}">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http://www.finances.gouv.qc.ca/fr/La_dette_du_Quebec328.asp</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<sst xmlns="http://schemas.openxmlformats.org/spreadsheetml/2006/main" count="599" uniqueCount="327">
  <si>
    <t>Revenus</t>
  </si>
  <si>
    <t>Impôt particulier</t>
  </si>
  <si>
    <t>Dépenses fiscales</t>
  </si>
  <si>
    <t xml:space="preserve">Impôt net </t>
  </si>
  <si>
    <t>Impôt société</t>
  </si>
  <si>
    <t>Taxes à la consommation</t>
  </si>
  <si>
    <t>Droits et permis</t>
  </si>
  <si>
    <t>Revenus provenant entreprises gouvernement</t>
  </si>
  <si>
    <t>Total revenus autonomes</t>
  </si>
  <si>
    <t>Transfert fédéraux</t>
  </si>
  <si>
    <t>Revenus autonomes</t>
  </si>
  <si>
    <t>Péréquation</t>
  </si>
  <si>
    <t>Transfert santé</t>
  </si>
  <si>
    <t>Autres</t>
  </si>
  <si>
    <t>Total transferts fédéraux</t>
  </si>
  <si>
    <t>Total des revenus</t>
  </si>
  <si>
    <t xml:space="preserve">Dépenses </t>
  </si>
  <si>
    <t>Santé services sociaux</t>
  </si>
  <si>
    <t>Éducation et culture</t>
  </si>
  <si>
    <t xml:space="preserve">Économie et environnement </t>
  </si>
  <si>
    <t>Soutien familles</t>
  </si>
  <si>
    <t>Gouverne et justice</t>
  </si>
  <si>
    <t>Total dépenses des missions</t>
  </si>
  <si>
    <t>Service de la dette</t>
  </si>
  <si>
    <t>Total des dépenses</t>
  </si>
  <si>
    <t>Surplus Annuel</t>
  </si>
  <si>
    <t>Cotisation FSS</t>
  </si>
  <si>
    <t>Impôt foncier scolaire</t>
  </si>
  <si>
    <t>Revenus divers</t>
  </si>
  <si>
    <t>Fonds des génération</t>
  </si>
  <si>
    <t>Solde au début</t>
  </si>
  <si>
    <t>Revenus général</t>
  </si>
  <si>
    <t>Revenus placement</t>
  </si>
  <si>
    <t>Taux de rendement Fonds</t>
  </si>
  <si>
    <t>Solde avant reboursement</t>
  </si>
  <si>
    <t>Solde à la fin</t>
  </si>
  <si>
    <t>Réserve en début</t>
  </si>
  <si>
    <t>Utilisation de la réserve</t>
  </si>
  <si>
    <t>Réserve en fin de période</t>
  </si>
  <si>
    <t>Solde budgétaire</t>
  </si>
  <si>
    <t>Réserve stabilisation</t>
  </si>
  <si>
    <t>Dette brutte</t>
  </si>
  <si>
    <t xml:space="preserve">plus </t>
  </si>
  <si>
    <t>Régime de retraite</t>
  </si>
  <si>
    <t>moins</t>
  </si>
  <si>
    <t>Fonds génération</t>
  </si>
  <si>
    <t>Autres (entreprises gouv, emprunts anticipation)</t>
  </si>
  <si>
    <t>Dette brutte en fin de période</t>
  </si>
  <si>
    <t>En millions</t>
  </si>
  <si>
    <t>Ajout à la réserve</t>
  </si>
  <si>
    <t>Remboursement dette (Affectation provenant du Fonds des génération)</t>
  </si>
  <si>
    <t>Dette</t>
  </si>
  <si>
    <t>Dette après incidence instruments</t>
  </si>
  <si>
    <t xml:space="preserve"> moins Fonds amortissement</t>
  </si>
  <si>
    <t>plus Dette PPP</t>
  </si>
  <si>
    <t xml:space="preserve">Total dette </t>
  </si>
  <si>
    <t>Dette année précédente</t>
  </si>
  <si>
    <t>flux sur dette</t>
  </si>
  <si>
    <t>Dette avant gain de change reportés</t>
  </si>
  <si>
    <t>Versements (surplus cumulé de la CNT, du FIT, etc.)</t>
  </si>
  <si>
    <t>Taux effectifs sur dette</t>
  </si>
  <si>
    <t>account</t>
  </si>
  <si>
    <t>fss</t>
  </si>
  <si>
    <t>property_taxes</t>
  </si>
  <si>
    <t>consumption</t>
  </si>
  <si>
    <t>permits</t>
  </si>
  <si>
    <t>gov_enterprises</t>
  </si>
  <si>
    <t>equalization</t>
  </si>
  <si>
    <t>health_transfer</t>
  </si>
  <si>
    <t>other_transfers</t>
  </si>
  <si>
    <t>health</t>
  </si>
  <si>
    <t>education</t>
  </si>
  <si>
    <t>economy</t>
  </si>
  <si>
    <t>family</t>
  </si>
  <si>
    <t>justice</t>
  </si>
  <si>
    <t>debt_service</t>
  </si>
  <si>
    <t>budget_balance</t>
  </si>
  <si>
    <t>gross_debt_reduct</t>
  </si>
  <si>
    <t>gross_debt</t>
  </si>
  <si>
    <t>year</t>
  </si>
  <si>
    <t>genfund_return</t>
  </si>
  <si>
    <t>contrib</t>
  </si>
  <si>
    <t>personal_taxes</t>
  </si>
  <si>
    <t>personal_credits</t>
  </si>
  <si>
    <t>corporate_taxes</t>
  </si>
  <si>
    <t>corporate_credits</t>
  </si>
  <si>
    <t>gfund_balance_start</t>
  </si>
  <si>
    <t>gfund_revenue</t>
  </si>
  <si>
    <t>gfund_returns</t>
  </si>
  <si>
    <t>gfund_debt_repay</t>
  </si>
  <si>
    <t>gfund_balance_end</t>
  </si>
  <si>
    <t>reserve_withdraw</t>
  </si>
  <si>
    <t>reserve_contrib</t>
  </si>
  <si>
    <t>reserve_balance_end</t>
  </si>
  <si>
    <t>debt_balance_start</t>
  </si>
  <si>
    <t>debt_repay</t>
  </si>
  <si>
    <t>debt_balance_end</t>
  </si>
  <si>
    <t>reserve_balance_start</t>
  </si>
  <si>
    <t>gdp</t>
  </si>
  <si>
    <t>gdp_growth</t>
  </si>
  <si>
    <t>miscellaneous_income</t>
  </si>
  <si>
    <t>pension_debt_service</t>
  </si>
  <si>
    <t>Pensions</t>
  </si>
  <si>
    <t>Balance</t>
  </si>
  <si>
    <t>Actif</t>
  </si>
  <si>
    <t>Passif</t>
  </si>
  <si>
    <t>Passif des régimes de retraite et des autres avantages sociaux futurs (dollars courants)</t>
  </si>
  <si>
    <t>Régimes de retraite</t>
  </si>
  <si>
    <t>Obligations relatives aux prestations acquises</t>
  </si>
  <si>
    <t>Actifs liés aux régimes de retraite</t>
  </si>
  <si>
    <t>Fonds d’amortissement des régimes de retraite</t>
  </si>
  <si>
    <t>Fonds particuliers des régimes de retraite</t>
  </si>
  <si>
    <t>Autres avantages sociaux futurs</t>
  </si>
  <si>
    <t>Fonds des autres avantages sociaux futurs</t>
  </si>
  <si>
    <t>pension_balance</t>
  </si>
  <si>
    <t>pension_interests</t>
  </si>
  <si>
    <t>placements</t>
  </si>
  <si>
    <t>other factors</t>
  </si>
  <si>
    <t>fixed assets</t>
  </si>
  <si>
    <t>Actifs net hors dette, retraite, FDG</t>
  </si>
  <si>
    <t>Immobilisations</t>
  </si>
  <si>
    <t>placements and other assets/debts</t>
  </si>
  <si>
    <t>flow fixed assets</t>
  </si>
  <si>
    <t>flow placements and other assets/debts</t>
  </si>
  <si>
    <t>Obligations au début</t>
  </si>
  <si>
    <t>Coût des prestations acquises</t>
  </si>
  <si>
    <t>Intérêts sur les obligations</t>
  </si>
  <si>
    <t>Compensations</t>
  </si>
  <si>
    <t>Autres contributions</t>
  </si>
  <si>
    <t>Prestations versées</t>
  </si>
  <si>
    <t>Prise en charge de retraités</t>
  </si>
  <si>
    <t>Transferts de régimes</t>
  </si>
  <si>
    <t>Modifications de régimes</t>
  </si>
  <si>
    <t>(Gains) perte actuarielles</t>
  </si>
  <si>
    <t>Variation des obligations à l'égard de certains crédits de rente</t>
  </si>
  <si>
    <t>Réajustement comptable</t>
  </si>
  <si>
    <t>Obligations à la fin</t>
  </si>
  <si>
    <t>Gains (pertes) actuariels non amortis</t>
  </si>
  <si>
    <t>Croissance à 6,35% en valeur nominale</t>
  </si>
  <si>
    <t>pension - liabilities start</t>
  </si>
  <si>
    <t>pension - new liabilities</t>
  </si>
  <si>
    <t>pension - interest on liabilities</t>
  </si>
  <si>
    <t>pension - others</t>
  </si>
  <si>
    <t>pension - paid liabilities</t>
  </si>
  <si>
    <t>pension - actuarial changes not amortized</t>
  </si>
  <si>
    <t>pension - liabilities future social advantages</t>
  </si>
  <si>
    <t xml:space="preserve">pension - net liabilities </t>
  </si>
  <si>
    <t>pension - assets</t>
  </si>
  <si>
    <t>Croissance linéaire des prestations versées: -212,91$ millions à chaque année en valeur réelle</t>
  </si>
  <si>
    <t>vars</t>
  </si>
  <si>
    <t>value</t>
  </si>
  <si>
    <t>des</t>
  </si>
  <si>
    <t>pension - interest</t>
  </si>
  <si>
    <t>pension - liabilities end</t>
  </si>
  <si>
    <t>pension - assets future social advantages</t>
  </si>
  <si>
    <t>Nominal</t>
  </si>
  <si>
    <t>Réel</t>
  </si>
  <si>
    <t>CPI</t>
  </si>
  <si>
    <t>https://www150.statcan.gc.ca/t1/tbl1/en/tv.action?pid=1810000501</t>
  </si>
  <si>
    <t>PIB réel</t>
  </si>
  <si>
    <t>Actifs financiers</t>
  </si>
  <si>
    <t>Encaisse</t>
  </si>
  <si>
    <t>Placements temporaires</t>
  </si>
  <si>
    <t>Débiteurs</t>
  </si>
  <si>
    <t>Stocks et autrs actifs déstinés à la vente</t>
  </si>
  <si>
    <t>Placements de portefeuille</t>
  </si>
  <si>
    <t>Participations dans les entreprises du gouvernement</t>
  </si>
  <si>
    <t>Participations dans les partenariats commerciaux</t>
  </si>
  <si>
    <t>Prêts</t>
  </si>
  <si>
    <t>FDG</t>
  </si>
  <si>
    <t>Frais reportés liés aux dettes</t>
  </si>
  <si>
    <t>Passifs</t>
  </si>
  <si>
    <t>Créditeurs et frais à payer</t>
  </si>
  <si>
    <t>Revenus reportés</t>
  </si>
  <si>
    <t>Autres passifs</t>
  </si>
  <si>
    <t>Dettes avant gains de change</t>
  </si>
  <si>
    <t>Gains de changes</t>
  </si>
  <si>
    <t xml:space="preserve">Actifs non financiers </t>
  </si>
  <si>
    <t>Stocks</t>
  </si>
  <si>
    <t>Frais payés d'avance</t>
  </si>
  <si>
    <t>Total des actifs financiers</t>
  </si>
  <si>
    <t>Total des passifs</t>
  </si>
  <si>
    <t>Dette brute</t>
  </si>
  <si>
    <t xml:space="preserve">Dettes avant gains (pertes) de change reportés </t>
  </si>
  <si>
    <t>Régimes de retraite et autres avantages sociaux futurs</t>
  </si>
  <si>
    <t>Fonds des générations</t>
  </si>
  <si>
    <t>Dette brute incluant les emprunts réalisés par anticipation</t>
  </si>
  <si>
    <t>Emprunts réalisés par anticipation</t>
  </si>
  <si>
    <t>Dette du Fonds de financement pour financer des entreprises du gouvernement</t>
  </si>
  <si>
    <t>Actifs financiers excluant FDG</t>
  </si>
  <si>
    <t>Autres passifs hors dette et retraite</t>
  </si>
  <si>
    <t>Actifs non financiers excluant immo</t>
  </si>
  <si>
    <t>Emprunts par anticipation + entreprises</t>
  </si>
  <si>
    <t>Autres actifs financiers</t>
  </si>
  <si>
    <t>Passif environnemental</t>
  </si>
  <si>
    <t>Autres actifs non financiers</t>
  </si>
  <si>
    <t>Total actifs non financiers</t>
  </si>
  <si>
    <t xml:space="preserve">Dettes </t>
  </si>
  <si>
    <t>Variation 2018-2019</t>
  </si>
  <si>
    <t>Variation 2019-2020</t>
  </si>
  <si>
    <t>Dette nette</t>
  </si>
  <si>
    <t>Actifs non financiers</t>
  </si>
  <si>
    <t>Déficit cumulé</t>
  </si>
  <si>
    <t>Actifs financiers, nets
des autres éléments de passif</t>
  </si>
  <si>
    <t xml:space="preserve"> </t>
  </si>
  <si>
    <t xml:space="preserve">
La dette représentant les déficits cumulés correspond à la « mauvaise dette » du gouvernement, à savoir celle qui ne correspond à aucun actif</t>
  </si>
  <si>
    <t>Somme utilisé remboursement dette</t>
  </si>
  <si>
    <t>Taux d'intérêt sur la dette</t>
  </si>
  <si>
    <t>Dette avant gain de change reporté (valeur constante)</t>
  </si>
  <si>
    <t>emprunts réalisés par anticipation (valeur constante)</t>
  </si>
  <si>
    <t>Intérêts sur la dette, nets des revenus de placement (valeur constante)</t>
  </si>
  <si>
    <t>CPI (Table: 18-10-0005-01)</t>
  </si>
  <si>
    <t>Dont Emprunts anticipation</t>
  </si>
  <si>
    <t>Total du service de la dette</t>
  </si>
  <si>
    <t>=</t>
  </si>
  <si>
    <t>Intérêts sur les dettes</t>
  </si>
  <si>
    <t>-</t>
  </si>
  <si>
    <t>Revenus de placement des fonds d’amortissement afférents à des emprunts</t>
  </si>
  <si>
    <t>Revenus d'intérêts sur les prêts et avances aux réseaux de la santé et des services sociaux et de l'éducation</t>
  </si>
  <si>
    <t>Revenus sur les placements temporaires</t>
  </si>
  <si>
    <t>Sous total</t>
  </si>
  <si>
    <t>+</t>
  </si>
  <si>
    <t>Intérêts sur les obligations relatives aux prestations acquises des régimes de retraite et des autres avantages sociaux futurs</t>
  </si>
  <si>
    <t>Revenus de placement du Fonds d’amortissement des régimes de retraite et des fonds particuliers des régimes</t>
  </si>
  <si>
    <t>Revenus de placement des fonds des autres avantages sociaux futurs</t>
  </si>
  <si>
    <t>Indicateurs</t>
  </si>
  <si>
    <t>Intérêts sur la dette en t en part de la dette avant gain de change reportés en t-1 nette des emprunts réalisés par anticipation (Dollars constants 2019)</t>
  </si>
  <si>
    <t>pension - end</t>
  </si>
  <si>
    <t>pension - assets futures social advantages</t>
  </si>
  <si>
    <t>pension - residual</t>
  </si>
  <si>
    <t>Inputs en valeurs courantes</t>
  </si>
  <si>
    <t>Évolution des obligations relatives aux prestations acquises des régimes de retraite en valeur courante</t>
  </si>
  <si>
    <t>Comparaison de nos hypothèses de projection avec celles du Budget 2020-2021</t>
  </si>
  <si>
    <t>VALEURS CONSTANTES</t>
  </si>
  <si>
    <t>Hypothèse</t>
  </si>
  <si>
    <t>Description hypothèse</t>
  </si>
  <si>
    <t>Valeur fixe chaque année après 2019</t>
  </si>
  <si>
    <t>Non intégré</t>
  </si>
  <si>
    <t>Passif des régimes de retraite (calculs)</t>
  </si>
  <si>
    <t>Passif des régimes de retraite  (budget 2020-2021)</t>
  </si>
  <si>
    <t>Inputs en valeurs constantes</t>
  </si>
  <si>
    <t>CPI Québec</t>
  </si>
  <si>
    <t xml:space="preserve">Coef. </t>
  </si>
  <si>
    <t>Valeur des passifs de régimes de retraite (en valeur nominale)</t>
  </si>
  <si>
    <t>Croissance linéaire des prestations acquises : +64,5$ millions à chaque année en valeur réelle</t>
  </si>
  <si>
    <t>Croissance linéaire des prestations versées: -204,4$ millions à chaque année en valeur réelle</t>
  </si>
  <si>
    <t>Passif des régimes de retraite  (budget 2021-2022)</t>
  </si>
  <si>
    <t>valeur à +991$ millions chaque année après 2019, correspondant à la moyenne 2009-2019 (en valeurs réelles) des Compensations et Variation des obligations à l'égard de certains crédits de rente, des Transferts de régimes, Modifications de régimes et (Gains) perte actuarielles</t>
  </si>
  <si>
    <t>Valeur fixe chaque année après 2020</t>
  </si>
  <si>
    <t>PIB des comptes publics (année fiscale, calcul à partir de la part de la dette brute dans le PIB nominal)</t>
  </si>
  <si>
    <t>PIB CANSIM, année calendaire (CANSIM 384-0038)</t>
  </si>
  <si>
    <t>Croissance linéaire des prestations acquises : +64,46$ millions à chaque année en valeur réelle</t>
  </si>
  <si>
    <t>bizarre, le plan nous dit que cela doit être négatif de 2,92%</t>
  </si>
  <si>
    <t>2021 non réajusté</t>
  </si>
  <si>
    <t>2021 réajusté</t>
  </si>
  <si>
    <t>check</t>
  </si>
  <si>
    <t>diff</t>
  </si>
  <si>
    <t>Actifs fi net hors dette, retraite, FDG</t>
  </si>
  <si>
    <t>Immobilisations + autres éléments des actifs non financiers</t>
  </si>
  <si>
    <t>Missions</t>
  </si>
  <si>
    <t>Stratégie de gestion des dépenses et renseignements supplémentaires</t>
  </si>
  <si>
    <t>Autre</t>
  </si>
  <si>
    <t>Page 73</t>
  </si>
  <si>
    <t>Affaires municipales et Habitation</t>
  </si>
  <si>
    <t>Agriculture, Pêcheries et Alimentation</t>
  </si>
  <si>
    <t>Culture et Communications</t>
  </si>
  <si>
    <t>Économie et Innovation</t>
  </si>
  <si>
    <t>Éducation</t>
  </si>
  <si>
    <t>Énergie et Ressources naturelles</t>
  </si>
  <si>
    <t>Enseignement supérieur</t>
  </si>
  <si>
    <t>Famille</t>
  </si>
  <si>
    <t>Finances</t>
  </si>
  <si>
    <t>Forêts, Faune et Parcs</t>
  </si>
  <si>
    <t>Justice</t>
  </si>
  <si>
    <t>Santé et Services sociaux</t>
  </si>
  <si>
    <t>Sécurité publique</t>
  </si>
  <si>
    <t>Tourisme</t>
  </si>
  <si>
    <t>Transports</t>
  </si>
  <si>
    <t>Travail, Emploi et Solidarité sociale</t>
  </si>
  <si>
    <t>Somme</t>
  </si>
  <si>
    <t>Calculs</t>
  </si>
  <si>
    <t>Sous-total des missions hors santé et servcies sociaux</t>
  </si>
  <si>
    <t xml:space="preserve">Réajustrement </t>
  </si>
  <si>
    <t>Total</t>
  </si>
  <si>
    <t>COVID - Plan budgétaire 2020-2021</t>
  </si>
  <si>
    <t>COVID - Calculs par missions</t>
  </si>
  <si>
    <t>Missions hors dépenses COVID</t>
  </si>
  <si>
    <t>Missions incluant les dépenses COVID</t>
  </si>
  <si>
    <t>covid transfers</t>
  </si>
  <si>
    <t>covid spending</t>
  </si>
  <si>
    <t>covid_spending</t>
  </si>
  <si>
    <t>covid_transfers</t>
  </si>
  <si>
    <t>Dépenses par portefeuille et mission en 2021-2022</t>
  </si>
  <si>
    <t>Santé et services sociaux</t>
  </si>
  <si>
    <t>Éducation et Culture</t>
  </si>
  <si>
    <t>Économie et environnement</t>
  </si>
  <si>
    <t>Soutien aux personnes et aux familles</t>
  </si>
  <si>
    <t>Gouverne et Justice</t>
  </si>
  <si>
    <t>Portefeuilles</t>
  </si>
  <si>
    <t xml:space="preserve">Assemblée nationale </t>
  </si>
  <si>
    <t>Personnes désignées par l'Assemblée nationale</t>
  </si>
  <si>
    <t xml:space="preserve">Affaires municipales et Habitation </t>
  </si>
  <si>
    <t>Conseil du trésor et Administration gouvernementale</t>
  </si>
  <si>
    <t xml:space="preserve">Conseil exécutif </t>
  </si>
  <si>
    <t xml:space="preserve">Culture et Communications </t>
  </si>
  <si>
    <t xml:space="preserve">Économie et Innovation </t>
  </si>
  <si>
    <t xml:space="preserve">Éducation </t>
  </si>
  <si>
    <t xml:space="preserve">Énergie et Ressources naturelles </t>
  </si>
  <si>
    <t xml:space="preserve">Enseignement supérieur </t>
  </si>
  <si>
    <t>Environnement et Lutte contre les changements climatiques</t>
  </si>
  <si>
    <t xml:space="preserve">Famille </t>
  </si>
  <si>
    <t xml:space="preserve">Finances </t>
  </si>
  <si>
    <t>Immigration, Francisation et Intégration</t>
  </si>
  <si>
    <t xml:space="preserve">Justice </t>
  </si>
  <si>
    <t>Relations internationales et Francophonie</t>
  </si>
  <si>
    <t xml:space="preserve">Santé et Services sociaux </t>
  </si>
  <si>
    <t xml:space="preserve">Sécurité publique </t>
  </si>
  <si>
    <t xml:space="preserve">Tourisme </t>
  </si>
  <si>
    <t xml:space="preserve">Transports </t>
  </si>
  <si>
    <t>Source: https://www.tresor.gouv.qc.ca/fileadmin/PDF/budget_depenses/21-22/1-Strategie_de_gestion_des_depenses_et_renseignements_supplementaires.pdf  p.146</t>
  </si>
  <si>
    <t>Les données étant arrondies, la somme des montants inscrits peut ne pas correspondre au total.</t>
  </si>
  <si>
    <t>Valeurs constantes</t>
  </si>
  <si>
    <t>Valeurs courantes</t>
  </si>
  <si>
    <t>Solde budgétaire avant utilisation de la réserve
de stabilisation</t>
  </si>
  <si>
    <t>Dette direct consolidée</t>
  </si>
  <si>
    <t>Dette en fin de période</t>
  </si>
  <si>
    <t>covid spending de 2020, où somt-elles?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</si>
</sst>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
    <numFmt numFmtId="166" formatCode="#,##0.0000"/>
    <numFmt numFmtId="167" formatCode="#,##0\ _$"/>
    <numFmt numFmtId="168" formatCode="0.0"/>
    <numFmt numFmtId="169" formatCode="0.000"/>
    <numFmt numFmtId="170" formatCode="0.0%"/>
  </numFmts>
  <fonts count="34" x14ac:knownFonts="1">
    <font>
      <sz val="12"/>
      <color theme="1"/>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b/>
      <u/>
      <sz val="12"/>
      <color theme="1"/>
      <name val="Calibri"/>
      <family val="2"/>
      <scheme val="minor"/>
    </font>
    <font>
      <b/>
      <i/>
      <sz val="12"/>
      <color theme="1"/>
      <name val="Calibri"/>
      <family val="2"/>
      <scheme val="minor"/>
    </font>
    <font>
      <sz val="12"/>
      <name val="Calibri"/>
      <family val="2"/>
      <scheme val="minor"/>
    </font>
    <font>
      <sz val="9"/>
      <color indexed="81"/>
      <name val="Calibri"/>
      <family val="2"/>
    </font>
    <font>
      <b/>
      <sz val="9"/>
      <color indexed="81"/>
      <name val="Calibri"/>
      <family val="2"/>
    </font>
    <font>
      <b/>
      <sz val="9"/>
      <color rgb="FF000000"/>
      <name val="Calibri"/>
      <family val="2"/>
    </font>
    <font>
      <sz val="9"/>
      <color rgb="FF000000"/>
      <name val="Calibri"/>
      <family val="2"/>
    </font>
    <font>
      <sz val="11"/>
      <color rgb="FF000000"/>
      <name val="Calibri"/>
      <family val="2"/>
      <scheme val="minor"/>
    </font>
    <font>
      <i/>
      <u/>
      <sz val="11"/>
      <color rgb="FF000000"/>
      <name val="Calibri"/>
      <family val="2"/>
      <scheme val="minor"/>
    </font>
    <font>
      <b/>
      <sz val="11"/>
      <color rgb="FF000000"/>
      <name val="Calibri"/>
      <family val="2"/>
      <scheme val="minor"/>
    </font>
    <font>
      <sz val="9"/>
      <color rgb="FF000000"/>
      <name val="Helvetica"/>
      <family val="2"/>
    </font>
    <font>
      <b/>
      <sz val="11"/>
      <color theme="1"/>
      <name val="Calibri"/>
      <family val="2"/>
      <scheme val="minor"/>
    </font>
    <font>
      <sz val="11"/>
      <color theme="1"/>
      <name val="Helvetica"/>
      <family val="2"/>
    </font>
    <font>
      <sz val="9"/>
      <color theme="1"/>
      <name val="Helvetica"/>
      <family val="2"/>
    </font>
    <font>
      <sz val="9"/>
      <color theme="1"/>
      <name val="Calibri"/>
      <family val="2"/>
      <scheme val="minor"/>
    </font>
    <font>
      <sz val="7"/>
      <color theme="1"/>
      <name val="Helvetica"/>
      <family val="2"/>
    </font>
    <font>
      <sz val="7"/>
      <color theme="1"/>
      <name val="Calibri"/>
      <family val="2"/>
      <scheme val="minor"/>
    </font>
    <font>
      <sz val="12"/>
      <color theme="1"/>
      <name val="Calibri"/>
      <family val="2"/>
      <scheme val="minor"/>
    </font>
    <font>
      <u/>
      <sz val="12"/>
      <color theme="10"/>
      <name val="Calibri"/>
      <family val="2"/>
      <scheme val="minor"/>
    </font>
    <font>
      <sz val="11"/>
      <color theme="1"/>
      <name val="Calibri"/>
      <family val="2"/>
      <scheme val="minor"/>
    </font>
    <font>
      <sz val="10"/>
      <color theme="1"/>
      <name val="Helvetica"/>
      <family val="2"/>
    </font>
    <font>
      <sz val="11"/>
      <color rgb="FFFF0000"/>
      <name val="Calibri"/>
      <family val="2"/>
      <scheme val="minor"/>
    </font>
    <font>
      <i/>
      <u/>
      <sz val="11"/>
      <color theme="1"/>
      <name val="Calibri"/>
      <family val="2"/>
      <scheme val="minor"/>
    </font>
    <font>
      <sz val="12"/>
      <color rgb="FFFF0000"/>
      <name val="Calibri"/>
      <family val="2"/>
      <scheme val="minor"/>
    </font>
    <font>
      <b/>
      <sz val="11"/>
      <color rgb="FFFF0000"/>
      <name val="Calibri"/>
      <family val="2"/>
      <scheme val="minor"/>
    </font>
    <font>
      <sz val="11"/>
      <color theme="0"/>
      <name val="Calibri"/>
      <family val="2"/>
      <scheme val="minor"/>
    </font>
    <font>
      <sz val="11"/>
      <color rgb="FFFFFF00"/>
      <name val="Calibri"/>
      <family val="2"/>
      <scheme val="minor"/>
    </font>
    <font>
      <b/>
      <sz val="12"/>
      <color rgb="FFFF0000"/>
      <name val="Calibri"/>
      <family val="2"/>
      <scheme val="minor"/>
    </font>
    <font>
      <b/>
      <u/>
      <sz val="16"/>
      <color theme="1"/>
      <name val="Calibri"/>
      <family val="2"/>
      <scheme val="minor"/>
    </font>
    <font>
      <b/>
      <u/>
      <sz val="14"/>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rgb="FF92D050"/>
        <bgColor indexed="64"/>
      </patternFill>
    </fill>
  </fills>
  <borders count="18">
    <border>
      <left/>
      <right/>
      <top/>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1" fillId="0" borderId="0"/>
    <xf numFmtId="0" fontId="22" fillId="0" borderId="0" applyNumberFormat="0" applyFill="0" applyBorder="0" applyAlignment="0" applyProtection="0"/>
    <xf numFmtId="0" fontId="23" fillId="0" borderId="0"/>
    <xf numFmtId="9" fontId="21" fillId="0" borderId="0" applyFont="0" applyFill="0" applyBorder="0" applyAlignment="0" applyProtection="0"/>
  </cellStyleXfs>
  <cellXfs count="191">
    <xf numFmtId="0" fontId="0" fillId="0" borderId="0" xfId="0"/>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horizontal="right" wrapText="1"/>
    </xf>
    <xf numFmtId="0" fontId="0" fillId="2" borderId="0" xfId="0" applyFill="1"/>
    <xf numFmtId="3" fontId="0" fillId="2" borderId="0" xfId="0" applyNumberFormat="1" applyFill="1"/>
    <xf numFmtId="0" fontId="5" fillId="0" borderId="0" xfId="0" applyFont="1" applyAlignment="1">
      <alignment wrapText="1"/>
    </xf>
    <xf numFmtId="0" fontId="0" fillId="0" borderId="0" xfId="0" applyFill="1"/>
    <xf numFmtId="0" fontId="0" fillId="3" borderId="0" xfId="0" applyFill="1"/>
    <xf numFmtId="0" fontId="0" fillId="4" borderId="0" xfId="0" applyFill="1"/>
    <xf numFmtId="0" fontId="0" fillId="5" borderId="0" xfId="0" applyFill="1"/>
    <xf numFmtId="164" fontId="0" fillId="0" borderId="0" xfId="0" applyNumberFormat="1"/>
    <xf numFmtId="0" fontId="0" fillId="0" borderId="0" xfId="0" applyNumberFormat="1"/>
    <xf numFmtId="3" fontId="0" fillId="0" borderId="0" xfId="0" applyNumberFormat="1"/>
    <xf numFmtId="0" fontId="0" fillId="0" borderId="0" xfId="0" applyAlignment="1">
      <alignment horizontal="left"/>
    </xf>
    <xf numFmtId="0" fontId="11" fillId="0" borderId="0" xfId="0" applyFont="1"/>
    <xf numFmtId="3" fontId="11" fillId="0" borderId="0" xfId="0" applyNumberFormat="1" applyFont="1"/>
    <xf numFmtId="0" fontId="11" fillId="0" borderId="0" xfId="0" applyFont="1" applyAlignment="1">
      <alignment horizontal="left" indent="5"/>
    </xf>
    <xf numFmtId="0" fontId="12" fillId="0" borderId="0" xfId="0" applyFont="1" applyAlignment="1">
      <alignment horizontal="left" indent="5"/>
    </xf>
    <xf numFmtId="0" fontId="11" fillId="0" borderId="0" xfId="0" applyFont="1" applyAlignment="1">
      <alignment horizontal="left" indent="2"/>
    </xf>
    <xf numFmtId="10" fontId="0" fillId="0" borderId="0" xfId="0" applyNumberFormat="1"/>
    <xf numFmtId="0" fontId="21" fillId="0" borderId="0" xfId="1" applyFill="1"/>
    <xf numFmtId="0" fontId="0" fillId="6" borderId="0" xfId="0" applyFill="1"/>
    <xf numFmtId="0" fontId="22" fillId="0" borderId="0" xfId="2"/>
    <xf numFmtId="0" fontId="0" fillId="0" borderId="1" xfId="0" applyFill="1" applyBorder="1"/>
    <xf numFmtId="10" fontId="0" fillId="0" borderId="0" xfId="0" applyNumberFormat="1" applyBorder="1"/>
    <xf numFmtId="165" fontId="0" fillId="0" borderId="0" xfId="0" applyNumberFormat="1"/>
    <xf numFmtId="3" fontId="0" fillId="0" borderId="0" xfId="0" applyNumberFormat="1" applyFill="1"/>
    <xf numFmtId="10" fontId="0" fillId="0" borderId="0" xfId="0" applyNumberFormat="1" applyFill="1"/>
    <xf numFmtId="0" fontId="6" fillId="0" borderId="0" xfId="0" applyFont="1" applyFill="1"/>
    <xf numFmtId="0" fontId="1" fillId="0" borderId="0" xfId="0" applyFont="1"/>
    <xf numFmtId="0" fontId="0" fillId="0" borderId="0" xfId="0" applyFont="1"/>
    <xf numFmtId="0" fontId="0" fillId="0" borderId="0" xfId="0" applyFill="1" applyAlignment="1">
      <alignment wrapText="1"/>
    </xf>
    <xf numFmtId="0" fontId="3" fillId="0" borderId="0" xfId="0" applyFont="1" applyFill="1" applyAlignment="1">
      <alignment wrapText="1"/>
    </xf>
    <xf numFmtId="0" fontId="1" fillId="0" borderId="0" xfId="0" applyFont="1" applyFill="1" applyAlignment="1">
      <alignment wrapText="1"/>
    </xf>
    <xf numFmtId="0" fontId="0" fillId="0" borderId="0" xfId="0" applyFill="1" applyAlignment="1">
      <alignment horizontal="right" wrapText="1"/>
    </xf>
    <xf numFmtId="0" fontId="0" fillId="0" borderId="0" xfId="0" applyFill="1" applyAlignment="1">
      <alignment horizontal="left" wrapText="1"/>
    </xf>
    <xf numFmtId="0" fontId="4" fillId="0" borderId="0" xfId="0" applyFont="1" applyFill="1" applyAlignment="1">
      <alignment wrapText="1"/>
    </xf>
    <xf numFmtId="3" fontId="0" fillId="2" borderId="0" xfId="0" applyNumberFormat="1" applyFill="1" applyBorder="1"/>
    <xf numFmtId="10" fontId="0" fillId="0" borderId="0" xfId="0" applyNumberFormat="1" applyAlignment="1"/>
    <xf numFmtId="0" fontId="0" fillId="0" borderId="0" xfId="0" applyAlignment="1"/>
    <xf numFmtId="0" fontId="0" fillId="0" borderId="0" xfId="0" applyAlignment="1">
      <alignment horizontal="right" wrapText="1" indent="2"/>
    </xf>
    <xf numFmtId="0" fontId="23" fillId="0" borderId="0" xfId="3"/>
    <xf numFmtId="0" fontId="15" fillId="6" borderId="0" xfId="3" applyFont="1" applyFill="1"/>
    <xf numFmtId="3" fontId="15" fillId="6" borderId="0" xfId="3" applyNumberFormat="1" applyFont="1" applyFill="1"/>
    <xf numFmtId="0" fontId="15" fillId="0" borderId="0" xfId="3" applyFont="1"/>
    <xf numFmtId="0" fontId="23" fillId="0" borderId="0" xfId="3" applyAlignment="1">
      <alignment horizontal="left" indent="2"/>
    </xf>
    <xf numFmtId="3" fontId="23" fillId="0" borderId="0" xfId="3" applyNumberFormat="1"/>
    <xf numFmtId="0" fontId="23" fillId="0" borderId="0" xfId="3" applyAlignment="1">
      <alignment horizontal="left" wrapText="1" indent="2"/>
    </xf>
    <xf numFmtId="0" fontId="23" fillId="0" borderId="2" xfId="3" applyBorder="1" applyAlignment="1">
      <alignment horizontal="left" indent="2"/>
    </xf>
    <xf numFmtId="0" fontId="23" fillId="0" borderId="2" xfId="3" applyBorder="1"/>
    <xf numFmtId="3" fontId="23" fillId="0" borderId="2" xfId="3" applyNumberFormat="1" applyBorder="1"/>
    <xf numFmtId="0" fontId="18" fillId="0" borderId="0" xfId="3" applyFont="1" applyAlignment="1">
      <alignment horizontal="left" wrapText="1" indent="2"/>
    </xf>
    <xf numFmtId="0" fontId="18" fillId="0" borderId="0" xfId="3" applyFont="1"/>
    <xf numFmtId="0" fontId="15" fillId="9" borderId="0" xfId="3" applyFont="1" applyFill="1"/>
    <xf numFmtId="10" fontId="15" fillId="9" borderId="0" xfId="3" applyNumberFormat="1" applyFont="1" applyFill="1"/>
    <xf numFmtId="0" fontId="23" fillId="9" borderId="0" xfId="3" applyFill="1"/>
    <xf numFmtId="10" fontId="23" fillId="9" borderId="0" xfId="3" applyNumberFormat="1" applyFill="1"/>
    <xf numFmtId="1" fontId="23" fillId="0" borderId="0" xfId="3" applyNumberFormat="1"/>
    <xf numFmtId="0" fontId="23" fillId="0" borderId="0" xfId="3" applyFill="1"/>
    <xf numFmtId="3" fontId="23" fillId="0" borderId="0" xfId="3" applyNumberFormat="1" applyFill="1"/>
    <xf numFmtId="1" fontId="23" fillId="0" borderId="0" xfId="3" applyNumberFormat="1" applyBorder="1"/>
    <xf numFmtId="1" fontId="23" fillId="0" borderId="0" xfId="3" applyNumberFormat="1" applyFill="1" applyBorder="1"/>
    <xf numFmtId="1" fontId="25" fillId="2" borderId="0" xfId="3" applyNumberFormat="1" applyFont="1" applyFill="1" applyBorder="1"/>
    <xf numFmtId="1" fontId="25" fillId="2" borderId="2" xfId="3" applyNumberFormat="1" applyFont="1" applyFill="1" applyBorder="1"/>
    <xf numFmtId="0" fontId="25" fillId="2" borderId="2" xfId="3" applyFont="1" applyFill="1" applyBorder="1"/>
    <xf numFmtId="1" fontId="25" fillId="2" borderId="3" xfId="3" applyNumberFormat="1" applyFont="1" applyFill="1" applyBorder="1"/>
    <xf numFmtId="0" fontId="24" fillId="0" borderId="0" xfId="3" applyFont="1" applyFill="1" applyAlignment="1">
      <alignment horizontal="left" indent="2"/>
    </xf>
    <xf numFmtId="0" fontId="23" fillId="0" borderId="0" xfId="3" applyFill="1" applyAlignment="1">
      <alignment horizontal="left" indent="2"/>
    </xf>
    <xf numFmtId="0" fontId="23" fillId="0" borderId="0" xfId="3" applyFill="1" applyAlignment="1">
      <alignment horizontal="left" wrapText="1" indent="2"/>
    </xf>
    <xf numFmtId="0" fontId="23" fillId="0" borderId="2" xfId="3" applyFill="1" applyBorder="1" applyAlignment="1">
      <alignment horizontal="left" indent="2"/>
    </xf>
    <xf numFmtId="0" fontId="21" fillId="0" borderId="0" xfId="1"/>
    <xf numFmtId="0" fontId="21" fillId="7" borderId="0" xfId="1" applyFill="1"/>
    <xf numFmtId="0" fontId="21" fillId="8" borderId="0" xfId="1" applyFill="1"/>
    <xf numFmtId="3" fontId="21" fillId="0" borderId="0" xfId="1" applyNumberFormat="1"/>
    <xf numFmtId="3" fontId="16" fillId="0" borderId="0" xfId="3" applyNumberFormat="1" applyFont="1"/>
    <xf numFmtId="0" fontId="17" fillId="0" borderId="0" xfId="3" applyFont="1" applyAlignment="1">
      <alignment horizontal="left" indent="4"/>
    </xf>
    <xf numFmtId="3" fontId="18" fillId="0" borderId="0" xfId="3" applyNumberFormat="1" applyFont="1"/>
    <xf numFmtId="0" fontId="19" fillId="0" borderId="0" xfId="3" applyFont="1" applyAlignment="1">
      <alignment horizontal="left" indent="6"/>
    </xf>
    <xf numFmtId="0" fontId="20" fillId="6" borderId="0" xfId="3" applyFont="1" applyFill="1"/>
    <xf numFmtId="0" fontId="20" fillId="0" borderId="0" xfId="3" applyFont="1"/>
    <xf numFmtId="3" fontId="20" fillId="0" borderId="0" xfId="3" applyNumberFormat="1" applyFont="1"/>
    <xf numFmtId="0" fontId="17" fillId="0" borderId="0" xfId="3" applyFont="1" applyAlignment="1">
      <alignment horizontal="left" indent="2"/>
    </xf>
    <xf numFmtId="0" fontId="19" fillId="0" borderId="0" xfId="3" applyFont="1" applyAlignment="1">
      <alignment horizontal="left" indent="4"/>
    </xf>
    <xf numFmtId="3" fontId="25" fillId="6" borderId="0" xfId="3" applyNumberFormat="1" applyFont="1" applyFill="1"/>
    <xf numFmtId="0" fontId="23" fillId="0" borderId="0" xfId="3" applyAlignment="1">
      <alignment horizontal="left" indent="5"/>
    </xf>
    <xf numFmtId="0" fontId="26" fillId="0" borderId="0" xfId="3" applyFont="1"/>
    <xf numFmtId="0" fontId="23" fillId="0" borderId="7" xfId="3" applyBorder="1"/>
    <xf numFmtId="0" fontId="23" fillId="0" borderId="8" xfId="3" applyBorder="1"/>
    <xf numFmtId="0" fontId="21" fillId="0" borderId="9" xfId="1" applyBorder="1"/>
    <xf numFmtId="0" fontId="21" fillId="0" borderId="10" xfId="1" applyBorder="1"/>
    <xf numFmtId="0" fontId="23" fillId="0" borderId="10" xfId="3" applyBorder="1"/>
    <xf numFmtId="0" fontId="21" fillId="0" borderId="11" xfId="1" applyBorder="1"/>
    <xf numFmtId="0" fontId="21" fillId="0" borderId="12" xfId="1" applyBorder="1"/>
    <xf numFmtId="164" fontId="23" fillId="0" borderId="0" xfId="3" applyNumberFormat="1"/>
    <xf numFmtId="1" fontId="0" fillId="0" borderId="0" xfId="0" applyNumberFormat="1"/>
    <xf numFmtId="0" fontId="28" fillId="2" borderId="0" xfId="3" applyFont="1" applyFill="1"/>
    <xf numFmtId="0" fontId="22" fillId="0" borderId="0" xfId="2" applyAlignment="1">
      <alignment horizontal="left" indent="2"/>
    </xf>
    <xf numFmtId="0" fontId="1" fillId="10" borderId="0" xfId="0" applyFont="1" applyFill="1"/>
    <xf numFmtId="0" fontId="15" fillId="10" borderId="0" xfId="3" applyFont="1" applyFill="1"/>
    <xf numFmtId="0" fontId="0" fillId="10" borderId="0" xfId="0" applyFont="1" applyFill="1"/>
    <xf numFmtId="0" fontId="23" fillId="10" borderId="0" xfId="3" applyFont="1" applyFill="1"/>
    <xf numFmtId="1" fontId="23" fillId="2" borderId="0" xfId="3" applyNumberFormat="1" applyFill="1"/>
    <xf numFmtId="1" fontId="23" fillId="0" borderId="0" xfId="3" applyNumberFormat="1" applyFill="1"/>
    <xf numFmtId="0" fontId="29" fillId="0" borderId="0" xfId="3" applyFont="1"/>
    <xf numFmtId="0" fontId="25" fillId="2" borderId="7" xfId="3" applyFont="1" applyFill="1" applyBorder="1"/>
    <xf numFmtId="0" fontId="25" fillId="2" borderId="1" xfId="3" applyFont="1" applyFill="1" applyBorder="1"/>
    <xf numFmtId="0" fontId="25" fillId="2" borderId="8" xfId="3" applyFont="1" applyFill="1" applyBorder="1"/>
    <xf numFmtId="0" fontId="25" fillId="2" borderId="11" xfId="3" applyFont="1" applyFill="1" applyBorder="1"/>
    <xf numFmtId="0" fontId="25" fillId="2" borderId="12" xfId="3" applyFont="1" applyFill="1" applyBorder="1"/>
    <xf numFmtId="0" fontId="30" fillId="2" borderId="13" xfId="3" applyFont="1" applyFill="1" applyBorder="1"/>
    <xf numFmtId="0" fontId="21" fillId="2" borderId="9" xfId="1" applyFill="1" applyBorder="1"/>
    <xf numFmtId="0" fontId="23" fillId="2" borderId="9" xfId="3" applyFill="1" applyBorder="1"/>
    <xf numFmtId="1" fontId="21" fillId="2" borderId="9" xfId="1" applyNumberFormat="1" applyFill="1" applyBorder="1"/>
    <xf numFmtId="10" fontId="23" fillId="2" borderId="9" xfId="3" applyNumberFormat="1" applyFill="1" applyBorder="1"/>
    <xf numFmtId="0" fontId="4" fillId="0" borderId="0" xfId="1" applyFont="1"/>
    <xf numFmtId="0" fontId="11" fillId="0" borderId="0" xfId="0" applyFont="1" applyFill="1" applyAlignment="1">
      <alignment horizontal="left" indent="2"/>
    </xf>
    <xf numFmtId="3" fontId="11" fillId="0" borderId="0" xfId="0" applyNumberFormat="1" applyFont="1" applyFill="1"/>
    <xf numFmtId="0" fontId="11" fillId="0" borderId="0" xfId="0" applyFont="1" applyFill="1"/>
    <xf numFmtId="0" fontId="13" fillId="0" borderId="0" xfId="0" applyFont="1" applyFill="1"/>
    <xf numFmtId="0" fontId="14" fillId="0" borderId="0" xfId="0" applyFont="1" applyFill="1" applyAlignment="1">
      <alignment horizontal="left" indent="4"/>
    </xf>
    <xf numFmtId="10" fontId="11" fillId="0" borderId="0" xfId="0" applyNumberFormat="1" applyFont="1" applyFill="1"/>
    <xf numFmtId="0" fontId="23" fillId="6" borderId="0" xfId="3" applyFill="1"/>
    <xf numFmtId="1" fontId="27" fillId="2" borderId="4" xfId="0" applyNumberFormat="1" applyFont="1" applyFill="1" applyBorder="1"/>
    <xf numFmtId="1" fontId="27" fillId="2" borderId="5" xfId="0" applyNumberFormat="1" applyFont="1" applyFill="1" applyBorder="1"/>
    <xf numFmtId="0" fontId="23" fillId="0" borderId="0" xfId="3" applyFill="1" applyAlignment="1">
      <alignment horizontal="left" indent="5"/>
    </xf>
    <xf numFmtId="0" fontId="26" fillId="0" borderId="0" xfId="3" applyFont="1" applyFill="1" applyAlignment="1">
      <alignment horizontal="left" indent="5"/>
    </xf>
    <xf numFmtId="3" fontId="23" fillId="0" borderId="0" xfId="3" applyNumberFormat="1" applyFont="1" applyFill="1" applyAlignment="1">
      <alignment horizontal="center"/>
    </xf>
    <xf numFmtId="3" fontId="16" fillId="0" borderId="0" xfId="3" applyNumberFormat="1" applyFont="1" applyFill="1" applyAlignment="1">
      <alignment horizontal="center"/>
    </xf>
    <xf numFmtId="0" fontId="23" fillId="2" borderId="0" xfId="3" applyFill="1" applyAlignment="1">
      <alignment horizontal="left" indent="5"/>
    </xf>
    <xf numFmtId="3" fontId="0" fillId="0" borderId="0" xfId="0" applyNumberFormat="1" applyFont="1" applyFill="1"/>
    <xf numFmtId="0" fontId="25" fillId="2" borderId="0" xfId="3" applyFont="1" applyFill="1"/>
    <xf numFmtId="3" fontId="27" fillId="2" borderId="6" xfId="1" applyNumberFormat="1" applyFont="1" applyFill="1" applyBorder="1"/>
    <xf numFmtId="167" fontId="0" fillId="0" borderId="0" xfId="0" applyNumberFormat="1"/>
    <xf numFmtId="0" fontId="27" fillId="2" borderId="0" xfId="0" applyFont="1" applyFill="1"/>
    <xf numFmtId="3" fontId="27" fillId="2" borderId="0" xfId="0" applyNumberFormat="1" applyFont="1" applyFill="1"/>
    <xf numFmtId="0" fontId="6" fillId="2" borderId="0" xfId="0" applyFont="1" applyFill="1"/>
    <xf numFmtId="0" fontId="0" fillId="0" borderId="0" xfId="0" applyNumberFormat="1" applyFill="1"/>
    <xf numFmtId="0" fontId="27" fillId="6" borderId="0" xfId="0" applyFont="1" applyFill="1"/>
    <xf numFmtId="3" fontId="27" fillId="6" borderId="0" xfId="0" applyNumberFormat="1" applyFont="1" applyFill="1"/>
    <xf numFmtId="0" fontId="0" fillId="0" borderId="14" xfId="0" applyBorder="1"/>
    <xf numFmtId="0" fontId="1" fillId="0" borderId="14" xfId="0" applyFont="1" applyBorder="1" applyAlignment="1">
      <alignment wrapText="1"/>
    </xf>
    <xf numFmtId="0" fontId="1" fillId="0" borderId="14" xfId="0" applyFont="1" applyBorder="1"/>
    <xf numFmtId="0" fontId="0" fillId="0" borderId="14" xfId="0" applyBorder="1" applyAlignment="1">
      <alignment horizontal="center" wrapText="1"/>
    </xf>
    <xf numFmtId="3" fontId="0" fillId="0" borderId="14" xfId="0" applyNumberFormat="1" applyBorder="1"/>
    <xf numFmtId="0" fontId="1" fillId="6" borderId="0" xfId="0" applyFont="1" applyFill="1"/>
    <xf numFmtId="0" fontId="31" fillId="2" borderId="14" xfId="0" applyFont="1" applyFill="1" applyBorder="1" applyAlignment="1">
      <alignment horizontal="center" wrapText="1"/>
    </xf>
    <xf numFmtId="0" fontId="31" fillId="2" borderId="14" xfId="0" applyFont="1" applyFill="1" applyBorder="1"/>
    <xf numFmtId="0" fontId="0" fillId="11" borderId="14" xfId="0" applyFill="1" applyBorder="1"/>
    <xf numFmtId="0" fontId="1" fillId="0" borderId="0" xfId="0" applyFont="1" applyAlignment="1">
      <alignment horizontal="center" wrapText="1"/>
    </xf>
    <xf numFmtId="0" fontId="0" fillId="0" borderId="14" xfId="0" applyBorder="1" applyAlignment="1">
      <alignment wrapText="1"/>
    </xf>
    <xf numFmtId="0" fontId="0" fillId="0" borderId="0" xfId="0" applyAlignment="1">
      <alignment horizontal="center"/>
    </xf>
    <xf numFmtId="1" fontId="0" fillId="11" borderId="14" xfId="0" applyNumberFormat="1" applyFill="1" applyBorder="1"/>
    <xf numFmtId="2" fontId="0" fillId="11" borderId="14" xfId="0" applyNumberFormat="1" applyFill="1" applyBorder="1"/>
    <xf numFmtId="168" fontId="0" fillId="11" borderId="14" xfId="0" applyNumberFormat="1" applyFill="1" applyBorder="1"/>
    <xf numFmtId="0" fontId="0" fillId="0" borderId="15" xfId="0" applyBorder="1"/>
    <xf numFmtId="0" fontId="1" fillId="0" borderId="0" xfId="0" applyFont="1" applyAlignment="1">
      <alignment horizontal="center"/>
    </xf>
    <xf numFmtId="0" fontId="33" fillId="0" borderId="0" xfId="0" applyFont="1" applyAlignment="1">
      <alignment horizontal="center"/>
    </xf>
    <xf numFmtId="1" fontId="25" fillId="2" borderId="0" xfId="3" applyNumberFormat="1" applyFont="1" applyFill="1"/>
    <xf numFmtId="167" fontId="23" fillId="0" borderId="0" xfId="3" applyNumberFormat="1"/>
    <xf numFmtId="169" fontId="23" fillId="0" borderId="0" xfId="3" applyNumberFormat="1"/>
    <xf numFmtId="170" fontId="23" fillId="0" borderId="0" xfId="4" applyNumberFormat="1" applyFont="1"/>
    <xf numFmtId="0" fontId="0" fillId="8" borderId="0" xfId="0" applyFill="1"/>
    <xf numFmtId="167" fontId="0" fillId="12" borderId="0" xfId="0" applyNumberFormat="1" applyFill="1"/>
    <xf numFmtId="3" fontId="0" fillId="12" borderId="0" xfId="0" applyNumberFormat="1" applyFill="1"/>
    <xf numFmtId="0" fontId="0" fillId="12" borderId="0" xfId="0" applyFill="1"/>
    <xf numFmtId="1" fontId="0" fillId="12" borderId="0" xfId="0" applyNumberFormat="1" applyFill="1"/>
    <xf numFmtId="1" fontId="23" fillId="12" borderId="0" xfId="3" applyNumberFormat="1" applyFill="1"/>
    <xf numFmtId="0" fontId="33" fillId="0" borderId="0" xfId="0" applyFont="1" applyAlignment="1">
      <alignment horizontal="center"/>
    </xf>
    <xf numFmtId="3" fontId="0" fillId="13" borderId="0" xfId="0" applyNumberFormat="1" applyFill="1"/>
    <xf numFmtId="0" fontId="0" fillId="13" borderId="0" xfId="0" applyFill="1"/>
    <xf numFmtId="3" fontId="0" fillId="8" borderId="0" xfId="0" applyNumberFormat="1" applyFill="1"/>
    <xf numFmtId="1" fontId="0" fillId="0" borderId="14" xfId="0" applyNumberFormat="1" applyBorder="1"/>
    <xf numFmtId="0" fontId="0" fillId="13" borderId="14" xfId="0" applyFill="1" applyBorder="1"/>
    <xf numFmtId="0" fontId="18" fillId="0" borderId="0" xfId="0" applyFont="1" applyFill="1"/>
    <xf numFmtId="3" fontId="18" fillId="13" borderId="0" xfId="0" applyNumberFormat="1" applyFont="1" applyFill="1"/>
    <xf numFmtId="0" fontId="18" fillId="13" borderId="0" xfId="0" applyFont="1" applyFill="1"/>
    <xf numFmtId="0" fontId="18" fillId="0" borderId="0" xfId="0" applyFont="1" applyAlignment="1">
      <alignment horizontal="left" wrapText="1" indent="1"/>
    </xf>
    <xf numFmtId="166" fontId="0" fillId="8" borderId="0" xfId="0" applyNumberFormat="1" applyFill="1"/>
    <xf numFmtId="0" fontId="0" fillId="0" borderId="16" xfId="0" applyBorder="1" applyAlignment="1">
      <alignment horizontal="center"/>
    </xf>
    <xf numFmtId="0" fontId="0" fillId="0" borderId="2" xfId="0" applyBorder="1" applyAlignment="1">
      <alignment horizontal="center"/>
    </xf>
    <xf numFmtId="0" fontId="0" fillId="0" borderId="17" xfId="0" applyBorder="1" applyAlignment="1">
      <alignment horizontal="center"/>
    </xf>
    <xf numFmtId="0" fontId="32" fillId="0" borderId="0" xfId="0" applyFont="1" applyAlignment="1">
      <alignment horizontal="center"/>
    </xf>
    <xf numFmtId="0" fontId="33" fillId="0" borderId="0" xfId="0" applyFont="1" applyAlignment="1">
      <alignment horizontal="center"/>
    </xf>
  </cellXfs>
  <cellStyles count="5">
    <cellStyle name="Lien hypertexte" xfId="2" builtinId="8"/>
    <cellStyle name="Normal" xfId="0" builtinId="0"/>
    <cellStyle name="Normal 2" xfId="3" xr:uid="{0AB5793C-643E-644D-9AF8-0296C268D208}"/>
    <cellStyle name="Normal 3" xfId="1" xr:uid="{81E5FFE1-5EDD-5547-B1FD-88ED00CFC7C8}"/>
    <cellStyle name="Pourcentage"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debt_service!$A$23</c:f>
              <c:strCache>
                <c:ptCount val="1"/>
                <c:pt idx="0">
                  <c:v>Intérêts sur la dette en t en part de la dette avant gain de change reportés en t-1 nette des emprunts réalisés par anticipation (Dollars constants 2019)</c:v>
                </c:pt>
              </c:strCache>
            </c:strRef>
          </c:tx>
          <c:spPr>
            <a:ln w="28575" cap="rnd">
              <a:solidFill>
                <a:schemeClr val="accent1"/>
              </a:solidFill>
              <a:round/>
            </a:ln>
            <a:effectLst/>
          </c:spPr>
          <c:marker>
            <c:symbol val="none"/>
          </c:marker>
          <c:dLbls>
            <c:dLbl>
              <c:idx val="9"/>
              <c:layout>
                <c:manualLayout>
                  <c:x val="-2.2499999999999999E-2"/>
                  <c:y val="-0.148837209302325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F50-FE4C-B4BC-9487C1E43A7B}"/>
                </c:ext>
              </c:extLst>
            </c:dLbl>
            <c:dLbl>
              <c:idx val="10"/>
              <c:layout>
                <c:manualLayout>
                  <c:x val="4.0254237288135437E-2"/>
                  <c:y val="-0.181395348837209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50-FE4C-B4BC-9487C1E43A7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debt_service!$F$1:$Q$1</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debt_service!$F$23:$Q$23</c:f>
              <c:numCache>
                <c:formatCode>0.00%</c:formatCode>
                <c:ptCount val="12"/>
                <c:pt idx="0">
                  <c:v>4.37337630614658E-2</c:v>
                </c:pt>
                <c:pt idx="1">
                  <c:v>4.4578985501571994E-2</c:v>
                </c:pt>
                <c:pt idx="2">
                  <c:v>4.3576169821664026E-2</c:v>
                </c:pt>
                <c:pt idx="3">
                  <c:v>4.1841155651156196E-2</c:v>
                </c:pt>
                <c:pt idx="4">
                  <c:v>4.1856307489145997E-2</c:v>
                </c:pt>
                <c:pt idx="5">
                  <c:v>4.0102107167493205E-2</c:v>
                </c:pt>
                <c:pt idx="6">
                  <c:v>3.9462654015240621E-2</c:v>
                </c:pt>
                <c:pt idx="7">
                  <c:v>3.8526558186228119E-2</c:v>
                </c:pt>
                <c:pt idx="8">
                  <c:v>3.8742078571155254E-2</c:v>
                </c:pt>
                <c:pt idx="9">
                  <c:v>3.7869824645146613E-2</c:v>
                </c:pt>
                <c:pt idx="10">
                  <c:v>3.5473298188553166E-2</c:v>
                </c:pt>
                <c:pt idx="11">
                  <c:v>3.4481343213223214E-2</c:v>
                </c:pt>
              </c:numCache>
            </c:numRef>
          </c:val>
          <c:smooth val="0"/>
          <c:extLst>
            <c:ext xmlns:c16="http://schemas.microsoft.com/office/drawing/2014/chart" uri="{C3380CC4-5D6E-409C-BE32-E72D297353CC}">
              <c16:uniqueId val="{00000001-5F50-FE4C-B4BC-9487C1E43A7B}"/>
            </c:ext>
          </c:extLst>
        </c:ser>
        <c:dLbls>
          <c:showLegendKey val="0"/>
          <c:showVal val="0"/>
          <c:showCatName val="0"/>
          <c:showSerName val="0"/>
          <c:showPercent val="0"/>
          <c:showBubbleSize val="0"/>
        </c:dLbls>
        <c:smooth val="0"/>
        <c:axId val="1815767136"/>
        <c:axId val="1815717792"/>
      </c:lineChart>
      <c:catAx>
        <c:axId val="181576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fr-FR"/>
          </a:p>
        </c:txPr>
        <c:crossAx val="1815717792"/>
        <c:crosses val="autoZero"/>
        <c:auto val="1"/>
        <c:lblAlgn val="ctr"/>
        <c:lblOffset val="100"/>
        <c:noMultiLvlLbl val="0"/>
      </c:catAx>
      <c:valAx>
        <c:axId val="181571779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fr-FR"/>
          </a:p>
        </c:txPr>
        <c:crossAx val="1815767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tx1"/>
          </a:solidFill>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gdp!$A$4</c:f>
              <c:strCache>
                <c:ptCount val="1"/>
                <c:pt idx="0">
                  <c:v>PIB des comptes publics (année fiscale, calcul à partir de la part de la dette brute dans le PIB nominal)</c:v>
                </c:pt>
              </c:strCache>
            </c:strRef>
          </c:tx>
          <c:spPr>
            <a:ln w="28575" cap="rnd">
              <a:solidFill>
                <a:schemeClr val="accent1"/>
              </a:solidFill>
              <a:round/>
            </a:ln>
            <a:effectLst/>
          </c:spPr>
          <c:marker>
            <c:symbol val="none"/>
          </c:marker>
          <c:cat>
            <c:numRef>
              <c:f>gdp!$B$3:$S$3</c:f>
              <c:numCache>
                <c:formatCode>General</c:formatCode>
                <c:ptCount val="18"/>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numCache>
            </c:numRef>
          </c:cat>
          <c:val>
            <c:numRef>
              <c:f>gdp!$B$4:$S$4</c:f>
              <c:numCache>
                <c:formatCode>#,##0</c:formatCode>
                <c:ptCount val="18"/>
                <c:pt idx="0">
                  <c:v>250905.83804143124</c:v>
                </c:pt>
                <c:pt idx="1">
                  <c:v>262752.39923224569</c:v>
                </c:pt>
                <c:pt idx="2">
                  <c:v>271844.35797665367</c:v>
                </c:pt>
                <c:pt idx="3">
                  <c:v>282236.328125</c:v>
                </c:pt>
                <c:pt idx="4">
                  <c:v>296081.34920634923</c:v>
                </c:pt>
                <c:pt idx="5">
                  <c:v>302607.14285714284</c:v>
                </c:pt>
                <c:pt idx="6">
                  <c:v>303565.05576208176</c:v>
                </c:pt>
                <c:pt idx="7">
                  <c:v>317648.35164835164</c:v>
                </c:pt>
                <c:pt idx="8">
                  <c:v>335868.13186813187</c:v>
                </c:pt>
                <c:pt idx="9">
                  <c:v>359767.35459662287</c:v>
                </c:pt>
                <c:pt idx="10">
                  <c:v>364996.29629629629</c:v>
                </c:pt>
                <c:pt idx="11">
                  <c:v>370157.89473684208</c:v>
                </c:pt>
                <c:pt idx="12">
                  <c:v>377968.40148698882</c:v>
                </c:pt>
                <c:pt idx="13">
                  <c:v>392080.92485549132</c:v>
                </c:pt>
                <c:pt idx="14">
                  <c:v>417159.75103734439</c:v>
                </c:pt>
                <c:pt idx="15">
                  <c:v>439509.93377483444</c:v>
                </c:pt>
                <c:pt idx="16">
                  <c:v>460166.66666666669</c:v>
                </c:pt>
                <c:pt idx="17">
                  <c:v>442337.37373737374</c:v>
                </c:pt>
              </c:numCache>
            </c:numRef>
          </c:val>
          <c:smooth val="0"/>
          <c:extLst>
            <c:ext xmlns:c16="http://schemas.microsoft.com/office/drawing/2014/chart" uri="{C3380CC4-5D6E-409C-BE32-E72D297353CC}">
              <c16:uniqueId val="{00000000-1AE2-2049-987D-C82DA245CE17}"/>
            </c:ext>
          </c:extLst>
        </c:ser>
        <c:ser>
          <c:idx val="1"/>
          <c:order val="1"/>
          <c:tx>
            <c:strRef>
              <c:f>gdp!$A$5</c:f>
              <c:strCache>
                <c:ptCount val="1"/>
                <c:pt idx="0">
                  <c:v>PIB CANSIM, année calendaire (CANSIM 384-0038)</c:v>
                </c:pt>
              </c:strCache>
            </c:strRef>
          </c:tx>
          <c:spPr>
            <a:ln w="28575" cap="rnd">
              <a:solidFill>
                <a:schemeClr val="accent2"/>
              </a:solidFill>
              <a:round/>
            </a:ln>
            <a:effectLst/>
          </c:spPr>
          <c:marker>
            <c:symbol val="none"/>
          </c:marker>
          <c:cat>
            <c:numRef>
              <c:f>gdp!$B$3:$S$3</c:f>
              <c:numCache>
                <c:formatCode>General</c:formatCode>
                <c:ptCount val="18"/>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numCache>
            </c:numRef>
          </c:cat>
          <c:val>
            <c:numRef>
              <c:f>gdp!$B$5:$S$5</c:f>
              <c:numCache>
                <c:formatCode>#,##0</c:formatCode>
                <c:ptCount val="18"/>
                <c:pt idx="0">
                  <c:v>272822</c:v>
                </c:pt>
                <c:pt idx="1">
                  <c:v>281116</c:v>
                </c:pt>
                <c:pt idx="2">
                  <c:v>291512</c:v>
                </c:pt>
                <c:pt idx="3">
                  <c:v>306946</c:v>
                </c:pt>
                <c:pt idx="4">
                  <c:v>315382</c:v>
                </c:pt>
                <c:pt idx="5">
                  <c:v>315540</c:v>
                </c:pt>
                <c:pt idx="6">
                  <c:v>329129</c:v>
                </c:pt>
                <c:pt idx="7">
                  <c:v>345763</c:v>
                </c:pt>
                <c:pt idx="8">
                  <c:v>355253</c:v>
                </c:pt>
                <c:pt idx="9">
                  <c:v>365802</c:v>
                </c:pt>
                <c:pt idx="10">
                  <c:v>376878</c:v>
                </c:pt>
                <c:pt idx="11">
                  <c:v>387667</c:v>
                </c:pt>
                <c:pt idx="12">
                  <c:v>399225</c:v>
                </c:pt>
                <c:pt idx="13">
                  <c:v>418674</c:v>
                </c:pt>
                <c:pt idx="14">
                  <c:v>441388</c:v>
                </c:pt>
                <c:pt idx="15">
                  <c:v>460357</c:v>
                </c:pt>
              </c:numCache>
            </c:numRef>
          </c:val>
          <c:smooth val="0"/>
          <c:extLst>
            <c:ext xmlns:c16="http://schemas.microsoft.com/office/drawing/2014/chart" uri="{C3380CC4-5D6E-409C-BE32-E72D297353CC}">
              <c16:uniqueId val="{00000001-1AE2-2049-987D-C82DA245CE17}"/>
            </c:ext>
          </c:extLst>
        </c:ser>
        <c:dLbls>
          <c:showLegendKey val="0"/>
          <c:showVal val="0"/>
          <c:showCatName val="0"/>
          <c:showSerName val="0"/>
          <c:showPercent val="0"/>
          <c:showBubbleSize val="0"/>
        </c:dLbls>
        <c:smooth val="0"/>
        <c:axId val="477864528"/>
        <c:axId val="504217744"/>
      </c:lineChart>
      <c:catAx>
        <c:axId val="477864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04217744"/>
        <c:crosses val="autoZero"/>
        <c:auto val="1"/>
        <c:lblAlgn val="ctr"/>
        <c:lblOffset val="100"/>
        <c:noMultiLvlLbl val="0"/>
      </c:catAx>
      <c:valAx>
        <c:axId val="504217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77864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FARR_constant!$A$37</c:f>
              <c:strCache>
                <c:ptCount val="1"/>
                <c:pt idx="0">
                  <c:v>pension - new liabilities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5.078980752405949E-2"/>
                  <c:y val="-3.189778361038203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trendlineLbl>
          </c:trendline>
          <c:val>
            <c:numRef>
              <c:f>FARR_constant!$E$37:$P$37</c:f>
              <c:numCache>
                <c:formatCode>0</c:formatCode>
                <c:ptCount val="12"/>
                <c:pt idx="0">
                  <c:v>1798.7724867724869</c:v>
                </c:pt>
                <c:pt idx="1">
                  <c:v>2089.1707317073169</c:v>
                </c:pt>
                <c:pt idx="2">
                  <c:v>2130.6373626373629</c:v>
                </c:pt>
                <c:pt idx="3">
                  <c:v>2161.2980132450334</c:v>
                </c:pt>
                <c:pt idx="4">
                  <c:v>2245.7058340180774</c:v>
                </c:pt>
                <c:pt idx="5">
                  <c:v>2399.8703403565642</c:v>
                </c:pt>
                <c:pt idx="6">
                  <c:v>2428.0994386527668</c:v>
                </c:pt>
                <c:pt idx="7">
                  <c:v>2428.6751592356691</c:v>
                </c:pt>
                <c:pt idx="8">
                  <c:v>2436.2364066193854</c:v>
                </c:pt>
                <c:pt idx="9">
                  <c:v>2448.049612403101</c:v>
                </c:pt>
                <c:pt idx="10">
                  <c:v>2600.5406226271834</c:v>
                </c:pt>
                <c:pt idx="11">
                  <c:v>2677</c:v>
                </c:pt>
              </c:numCache>
            </c:numRef>
          </c:val>
          <c:smooth val="0"/>
          <c:extLst>
            <c:ext xmlns:c15="http://schemas.microsoft.com/office/drawing/2012/chart" uri="{02D57815-91ED-43cb-92C2-25804820EDAC}">
              <c15:filteredCategoryTitle>
                <c15:cat>
                  <c:multiLvlStrRef>
                    <c:extLst>
                      <c:ext uri="{02D57815-91ED-43cb-92C2-25804820EDAC}">
                        <c15:formulaRef>
                          <c15:sqref>FARR_constant!#REF!</c15:sqref>
                        </c15:formulaRef>
                      </c:ext>
                    </c:extLst>
                  </c:multiLvlStrRef>
                </c15:cat>
              </c15:filteredCategoryTitle>
            </c:ext>
            <c:ext xmlns:c16="http://schemas.microsoft.com/office/drawing/2014/chart" uri="{C3380CC4-5D6E-409C-BE32-E72D297353CC}">
              <c16:uniqueId val="{00000001-9F57-A248-92F5-BF48EC00E3EA}"/>
            </c:ext>
          </c:extLst>
        </c:ser>
        <c:dLbls>
          <c:showLegendKey val="0"/>
          <c:showVal val="0"/>
          <c:showCatName val="0"/>
          <c:showSerName val="0"/>
          <c:showPercent val="0"/>
          <c:showBubbleSize val="0"/>
        </c:dLbls>
        <c:smooth val="0"/>
        <c:axId val="251024656"/>
        <c:axId val="187118096"/>
      </c:lineChart>
      <c:catAx>
        <c:axId val="25102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7118096"/>
        <c:crosses val="autoZero"/>
        <c:auto val="1"/>
        <c:lblAlgn val="ctr"/>
        <c:lblOffset val="100"/>
        <c:noMultiLvlLbl val="0"/>
      </c:catAx>
      <c:valAx>
        <c:axId val="187118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251024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fr-FR"/>
        </a:p>
      </c:txPr>
    </c:title>
    <c:autoTitleDeleted val="0"/>
    <c:plotArea>
      <c:layout/>
      <c:lineChart>
        <c:grouping val="standard"/>
        <c:varyColors val="0"/>
        <c:ser>
          <c:idx val="0"/>
          <c:order val="0"/>
          <c:tx>
            <c:strRef>
              <c:f>FARR_constant!$A$39</c:f>
              <c:strCache>
                <c:ptCount val="1"/>
                <c:pt idx="0">
                  <c:v>pension - paid liabilities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trendlineLbl>
          </c:trendline>
          <c:val>
            <c:numRef>
              <c:f>FARR_constant!$E$39:$P$39</c:f>
              <c:numCache>
                <c:formatCode>0</c:formatCode>
                <c:ptCount val="12"/>
                <c:pt idx="0">
                  <c:v>-4753.396825396826</c:v>
                </c:pt>
                <c:pt idx="1">
                  <c:v>-5194.0069686411152</c:v>
                </c:pt>
                <c:pt idx="2">
                  <c:v>-5120.0405748098065</c:v>
                </c:pt>
                <c:pt idx="3">
                  <c:v>-5265.8278145695367</c:v>
                </c:pt>
                <c:pt idx="4">
                  <c:v>-5485.5020542317179</c:v>
                </c:pt>
                <c:pt idx="5">
                  <c:v>-5731.70826580227</c:v>
                </c:pt>
                <c:pt idx="6">
                  <c:v>-5875.3616680032083</c:v>
                </c:pt>
                <c:pt idx="7">
                  <c:v>-6104.993630573249</c:v>
                </c:pt>
                <c:pt idx="8">
                  <c:v>-6315.5870764381407</c:v>
                </c:pt>
                <c:pt idx="9">
                  <c:v>-6868.539534883721</c:v>
                </c:pt>
                <c:pt idx="10">
                  <c:v>-7006.0318906605935</c:v>
                </c:pt>
                <c:pt idx="11">
                  <c:v>-6814</c:v>
                </c:pt>
              </c:numCache>
            </c:numRef>
          </c:val>
          <c:smooth val="0"/>
          <c:extLst>
            <c:ext xmlns:c15="http://schemas.microsoft.com/office/drawing/2012/chart" uri="{02D57815-91ED-43cb-92C2-25804820EDAC}">
              <c15:filteredCategoryTitle>
                <c15:cat>
                  <c:multiLvlStrRef>
                    <c:extLst>
                      <c:ext uri="{02D57815-91ED-43cb-92C2-25804820EDAC}">
                        <c15:formulaRef>
                          <c15:sqref>FARR_constant!#REF!</c15:sqref>
                        </c15:formulaRef>
                      </c:ext>
                    </c:extLst>
                  </c:multiLvlStrRef>
                </c15:cat>
              </c15:filteredCategoryTitle>
            </c:ext>
            <c:ext xmlns:c16="http://schemas.microsoft.com/office/drawing/2014/chart" uri="{C3380CC4-5D6E-409C-BE32-E72D297353CC}">
              <c16:uniqueId val="{00000001-C18C-7A41-A496-3CA9955AE65D}"/>
            </c:ext>
          </c:extLst>
        </c:ser>
        <c:dLbls>
          <c:showLegendKey val="0"/>
          <c:showVal val="0"/>
          <c:showCatName val="0"/>
          <c:showSerName val="0"/>
          <c:showPercent val="0"/>
          <c:showBubbleSize val="0"/>
        </c:dLbls>
        <c:smooth val="0"/>
        <c:axId val="187362784"/>
        <c:axId val="187226160"/>
      </c:lineChart>
      <c:catAx>
        <c:axId val="18736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7226160"/>
        <c:crosses val="autoZero"/>
        <c:auto val="1"/>
        <c:lblAlgn val="ctr"/>
        <c:lblOffset val="100"/>
        <c:noMultiLvlLbl val="0"/>
      </c:catAx>
      <c:valAx>
        <c:axId val="1872261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7362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FARR_constant!$A$76</c:f>
              <c:strCache>
                <c:ptCount val="1"/>
                <c:pt idx="0">
                  <c:v>Passif des régimes de retraite (calculs)</c:v>
                </c:pt>
              </c:strCache>
            </c:strRef>
          </c:tx>
          <c:spPr>
            <a:ln w="28575" cap="rnd">
              <a:solidFill>
                <a:schemeClr val="tx1"/>
              </a:solidFill>
              <a:prstDash val="sysDash"/>
              <a:round/>
            </a:ln>
            <a:effectLst/>
          </c:spPr>
          <c:marker>
            <c:symbol val="none"/>
          </c:marker>
          <c:cat>
            <c:numRef>
              <c:f>FARR_constant!$D$60:$O$60</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FARR_constant!$D$76:$O$76</c:f>
              <c:numCache>
                <c:formatCode>0</c:formatCode>
                <c:ptCount val="12"/>
                <c:pt idx="0">
                  <c:v>29862.428227746572</c:v>
                </c:pt>
                <c:pt idx="1">
                  <c:v>28228.458598726116</c:v>
                </c:pt>
                <c:pt idx="2">
                  <c:v>25824.315208825836</c:v>
                </c:pt>
                <c:pt idx="3">
                  <c:v>16911.925581395353</c:v>
                </c:pt>
                <c:pt idx="4">
                  <c:v>18736.194381169335</c:v>
                </c:pt>
                <c:pt idx="5">
                  <c:v>14964</c:v>
                </c:pt>
                <c:pt idx="6">
                  <c:v>11635.2958574064</c:v>
                </c:pt>
                <c:pt idx="7">
                  <c:v>9233.2703106134923</c:v>
                </c:pt>
                <c:pt idx="8">
                  <c:v>6514.1021867619575</c:v>
                </c:pt>
                <c:pt idx="9">
                  <c:v>3510.7042432209901</c:v>
                </c:pt>
                <c:pt idx="10">
                  <c:v>175.41569402560154</c:v>
                </c:pt>
              </c:numCache>
            </c:numRef>
          </c:val>
          <c:smooth val="0"/>
          <c:extLst>
            <c:ext xmlns:c16="http://schemas.microsoft.com/office/drawing/2014/chart" uri="{C3380CC4-5D6E-409C-BE32-E72D297353CC}">
              <c16:uniqueId val="{00000000-8788-AC42-83E7-E4016D219072}"/>
            </c:ext>
          </c:extLst>
        </c:ser>
        <c:ser>
          <c:idx val="1"/>
          <c:order val="1"/>
          <c:tx>
            <c:strRef>
              <c:f>FARR_constant!$A$77</c:f>
              <c:strCache>
                <c:ptCount val="1"/>
                <c:pt idx="0">
                  <c:v>Passif des régimes de retraite  (budget 2020-2021)</c:v>
                </c:pt>
              </c:strCache>
            </c:strRef>
          </c:tx>
          <c:spPr>
            <a:ln w="28575" cap="rnd">
              <a:solidFill>
                <a:schemeClr val="accent2"/>
              </a:solidFill>
              <a:round/>
            </a:ln>
            <a:effectLst/>
          </c:spPr>
          <c:marker>
            <c:symbol val="none"/>
          </c:marker>
          <c:cat>
            <c:numRef>
              <c:f>FARR_constant!$D$60:$O$60</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FARR_constant!$D$77:$O$77</c:f>
              <c:numCache>
                <c:formatCode>#,##0</c:formatCode>
                <c:ptCount val="12"/>
                <c:pt idx="0">
                  <c:v>29862.428227746572</c:v>
                </c:pt>
                <c:pt idx="1">
                  <c:v>28228.458598726116</c:v>
                </c:pt>
                <c:pt idx="2">
                  <c:v>25824.315208825836</c:v>
                </c:pt>
                <c:pt idx="3">
                  <c:v>16911.925581395353</c:v>
                </c:pt>
                <c:pt idx="4">
                  <c:v>18736.194381169335</c:v>
                </c:pt>
                <c:pt idx="5">
                  <c:v>14586</c:v>
                </c:pt>
                <c:pt idx="6">
                  <c:v>11867</c:v>
                </c:pt>
                <c:pt idx="7">
                  <c:v>8694</c:v>
                </c:pt>
                <c:pt idx="8">
                  <c:v>5268</c:v>
                </c:pt>
                <c:pt idx="9">
                  <c:v>1094</c:v>
                </c:pt>
                <c:pt idx="10">
                  <c:v>-3487</c:v>
                </c:pt>
              </c:numCache>
            </c:numRef>
          </c:val>
          <c:smooth val="0"/>
          <c:extLst>
            <c:ext xmlns:c16="http://schemas.microsoft.com/office/drawing/2014/chart" uri="{C3380CC4-5D6E-409C-BE32-E72D297353CC}">
              <c16:uniqueId val="{00000001-8788-AC42-83E7-E4016D219072}"/>
            </c:ext>
          </c:extLst>
        </c:ser>
        <c:ser>
          <c:idx val="2"/>
          <c:order val="2"/>
          <c:tx>
            <c:strRef>
              <c:f>FARR_constant!$A$78</c:f>
              <c:strCache>
                <c:ptCount val="1"/>
                <c:pt idx="0">
                  <c:v>Passif des régimes de retraite  (budget 2021-2022)</c:v>
                </c:pt>
              </c:strCache>
            </c:strRef>
          </c:tx>
          <c:spPr>
            <a:ln w="28575" cap="rnd">
              <a:solidFill>
                <a:schemeClr val="accent5"/>
              </a:solidFill>
              <a:round/>
            </a:ln>
            <a:effectLst/>
          </c:spPr>
          <c:marker>
            <c:symbol val="none"/>
          </c:marker>
          <c:cat>
            <c:numRef>
              <c:f>FARR_constant!$D$60:$O$60</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FARR_constant!$D$78:$O$78</c:f>
              <c:numCache>
                <c:formatCode>General</c:formatCode>
                <c:ptCount val="12"/>
                <c:pt idx="5" formatCode="#,##0">
                  <c:v>14716</c:v>
                </c:pt>
                <c:pt idx="6" formatCode="#,##0">
                  <c:v>12287</c:v>
                </c:pt>
                <c:pt idx="7" formatCode="#,##0">
                  <c:v>9486</c:v>
                </c:pt>
                <c:pt idx="8" formatCode="#,##0">
                  <c:v>6482</c:v>
                </c:pt>
                <c:pt idx="9" formatCode="#,##0">
                  <c:v>2873</c:v>
                </c:pt>
                <c:pt idx="10">
                  <c:v>441</c:v>
                </c:pt>
                <c:pt idx="11">
                  <c:v>-2638</c:v>
                </c:pt>
              </c:numCache>
            </c:numRef>
          </c:val>
          <c:smooth val="0"/>
          <c:extLst>
            <c:ext xmlns:c16="http://schemas.microsoft.com/office/drawing/2014/chart" uri="{C3380CC4-5D6E-409C-BE32-E72D297353CC}">
              <c16:uniqueId val="{00000001-AD0D-5C42-B363-9BB71704C4A2}"/>
            </c:ext>
          </c:extLst>
        </c:ser>
        <c:dLbls>
          <c:showLegendKey val="0"/>
          <c:showVal val="0"/>
          <c:showCatName val="0"/>
          <c:showSerName val="0"/>
          <c:showPercent val="0"/>
          <c:showBubbleSize val="0"/>
        </c:dLbls>
        <c:smooth val="0"/>
        <c:axId val="260470032"/>
        <c:axId val="260282496"/>
      </c:lineChart>
      <c:catAx>
        <c:axId val="26047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260282496"/>
        <c:crosses val="autoZero"/>
        <c:auto val="1"/>
        <c:lblAlgn val="ctr"/>
        <c:lblOffset val="100"/>
        <c:noMultiLvlLbl val="0"/>
      </c:catAx>
      <c:valAx>
        <c:axId val="260282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26047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FARR_courant!$A$37</c:f>
              <c:strCache>
                <c:ptCount val="1"/>
                <c:pt idx="0">
                  <c:v>pension - new liabilities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5.078980752405949E-2"/>
                  <c:y val="-3.1897783610382036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trendlineLbl>
          </c:trendline>
          <c:val>
            <c:numRef>
              <c:f>FARR_courant!$E$37:$P$37</c:f>
              <c:numCache>
                <c:formatCode>0</c:formatCode>
                <c:ptCount val="12"/>
                <c:pt idx="0">
                  <c:v>1536</c:v>
                </c:pt>
                <c:pt idx="1">
                  <c:v>1806</c:v>
                </c:pt>
                <c:pt idx="2">
                  <c:v>1898</c:v>
                </c:pt>
                <c:pt idx="3">
                  <c:v>1966</c:v>
                </c:pt>
                <c:pt idx="4">
                  <c:v>2058</c:v>
                </c:pt>
                <c:pt idx="5">
                  <c:v>2230</c:v>
                </c:pt>
                <c:pt idx="6">
                  <c:v>2280</c:v>
                </c:pt>
                <c:pt idx="7">
                  <c:v>2297</c:v>
                </c:pt>
                <c:pt idx="8">
                  <c:v>2328</c:v>
                </c:pt>
                <c:pt idx="9">
                  <c:v>2378</c:v>
                </c:pt>
                <c:pt idx="10">
                  <c:v>2579</c:v>
                </c:pt>
                <c:pt idx="11">
                  <c:v>2677</c:v>
                </c:pt>
              </c:numCache>
            </c:numRef>
          </c:val>
          <c:smooth val="0"/>
          <c:extLst>
            <c:ext xmlns:c15="http://schemas.microsoft.com/office/drawing/2012/chart" uri="{02D57815-91ED-43cb-92C2-25804820EDAC}">
              <c15:filteredCategoryTitle>
                <c15:cat>
                  <c:multiLvlStrRef>
                    <c:extLst>
                      <c:ext uri="{02D57815-91ED-43cb-92C2-25804820EDAC}">
                        <c15:formulaRef>
                          <c15:sqref>FARR_constant!#REF!</c15:sqref>
                        </c15:formulaRef>
                      </c:ext>
                    </c:extLst>
                  </c:multiLvlStrRef>
                </c15:cat>
              </c15:filteredCategoryTitle>
            </c:ext>
            <c:ext xmlns:c16="http://schemas.microsoft.com/office/drawing/2014/chart" uri="{C3380CC4-5D6E-409C-BE32-E72D297353CC}">
              <c16:uniqueId val="{00000001-CA71-D140-BDD5-284A523E3104}"/>
            </c:ext>
          </c:extLst>
        </c:ser>
        <c:dLbls>
          <c:showLegendKey val="0"/>
          <c:showVal val="0"/>
          <c:showCatName val="0"/>
          <c:showSerName val="0"/>
          <c:showPercent val="0"/>
          <c:showBubbleSize val="0"/>
        </c:dLbls>
        <c:smooth val="0"/>
        <c:axId val="251024656"/>
        <c:axId val="187118096"/>
      </c:lineChart>
      <c:catAx>
        <c:axId val="251024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7118096"/>
        <c:crosses val="autoZero"/>
        <c:auto val="1"/>
        <c:lblAlgn val="ctr"/>
        <c:lblOffset val="100"/>
        <c:noMultiLvlLbl val="0"/>
      </c:catAx>
      <c:valAx>
        <c:axId val="1871180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251024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fr-FR"/>
        </a:p>
      </c:txPr>
    </c:title>
    <c:autoTitleDeleted val="0"/>
    <c:plotArea>
      <c:layout/>
      <c:lineChart>
        <c:grouping val="standard"/>
        <c:varyColors val="0"/>
        <c:ser>
          <c:idx val="0"/>
          <c:order val="0"/>
          <c:tx>
            <c:strRef>
              <c:f>FARR_courant!$A$39</c:f>
              <c:strCache>
                <c:ptCount val="1"/>
                <c:pt idx="0">
                  <c:v>pension - paid liabilities</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trendlineLbl>
          </c:trendline>
          <c:val>
            <c:numRef>
              <c:f>FARR_courant!$E$39:$P$39</c:f>
              <c:numCache>
                <c:formatCode>0</c:formatCode>
                <c:ptCount val="12"/>
                <c:pt idx="0">
                  <c:v>-4059</c:v>
                </c:pt>
                <c:pt idx="1">
                  <c:v>-4490</c:v>
                </c:pt>
                <c:pt idx="2">
                  <c:v>-4561</c:v>
                </c:pt>
                <c:pt idx="3">
                  <c:v>-4790</c:v>
                </c:pt>
                <c:pt idx="4">
                  <c:v>-5027</c:v>
                </c:pt>
                <c:pt idx="5">
                  <c:v>-5326</c:v>
                </c:pt>
                <c:pt idx="6">
                  <c:v>-5517</c:v>
                </c:pt>
                <c:pt idx="7">
                  <c:v>-5774</c:v>
                </c:pt>
                <c:pt idx="8">
                  <c:v>-6035</c:v>
                </c:pt>
                <c:pt idx="9">
                  <c:v>-6672</c:v>
                </c:pt>
                <c:pt idx="10">
                  <c:v>-6948</c:v>
                </c:pt>
                <c:pt idx="11">
                  <c:v>-6814</c:v>
                </c:pt>
              </c:numCache>
            </c:numRef>
          </c:val>
          <c:smooth val="0"/>
          <c:extLst>
            <c:ext xmlns:c15="http://schemas.microsoft.com/office/drawing/2012/chart" uri="{02D57815-91ED-43cb-92C2-25804820EDAC}">
              <c15:filteredCategoryTitle>
                <c15:cat>
                  <c:multiLvlStrRef>
                    <c:extLst>
                      <c:ext uri="{02D57815-91ED-43cb-92C2-25804820EDAC}">
                        <c15:formulaRef>
                          <c15:sqref>FARR_constant!#REF!</c15:sqref>
                        </c15:formulaRef>
                      </c:ext>
                    </c:extLst>
                  </c:multiLvlStrRef>
                </c15:cat>
              </c15:filteredCategoryTitle>
            </c:ext>
            <c:ext xmlns:c16="http://schemas.microsoft.com/office/drawing/2014/chart" uri="{C3380CC4-5D6E-409C-BE32-E72D297353CC}">
              <c16:uniqueId val="{00000001-CDC3-B747-9220-91F16B18DBF2}"/>
            </c:ext>
          </c:extLst>
        </c:ser>
        <c:dLbls>
          <c:showLegendKey val="0"/>
          <c:showVal val="0"/>
          <c:showCatName val="0"/>
          <c:showSerName val="0"/>
          <c:showPercent val="0"/>
          <c:showBubbleSize val="0"/>
        </c:dLbls>
        <c:smooth val="0"/>
        <c:axId val="187362784"/>
        <c:axId val="187226160"/>
      </c:lineChart>
      <c:catAx>
        <c:axId val="18736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7226160"/>
        <c:crosses val="autoZero"/>
        <c:auto val="1"/>
        <c:lblAlgn val="ctr"/>
        <c:lblOffset val="100"/>
        <c:noMultiLvlLbl val="0"/>
      </c:catAx>
      <c:valAx>
        <c:axId val="1872261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187362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FARR_courant!$A$76</c:f>
              <c:strCache>
                <c:ptCount val="1"/>
                <c:pt idx="0">
                  <c:v>Passif des régimes de retraite (calculs)</c:v>
                </c:pt>
              </c:strCache>
            </c:strRef>
          </c:tx>
          <c:spPr>
            <a:ln w="28575" cap="rnd">
              <a:solidFill>
                <a:schemeClr val="tx1"/>
              </a:solidFill>
              <a:prstDash val="sysDash"/>
              <a:round/>
            </a:ln>
            <a:effectLst/>
          </c:spPr>
          <c:marker>
            <c:symbol val="none"/>
          </c:marker>
          <c:cat>
            <c:numRef>
              <c:f>FARR_courant!$D$60:$O$60</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FARR_courant!$D$76:$O$76</c:f>
              <c:numCache>
                <c:formatCode>0</c:formatCode>
                <c:ptCount val="12"/>
                <c:pt idx="0">
                  <c:v>28041</c:v>
                </c:pt>
                <c:pt idx="1">
                  <c:v>26698</c:v>
                </c:pt>
                <c:pt idx="2">
                  <c:v>24677</c:v>
                </c:pt>
                <c:pt idx="3">
                  <c:v>16428</c:v>
                </c:pt>
                <c:pt idx="4">
                  <c:v>18581</c:v>
                </c:pt>
                <c:pt idx="5">
                  <c:v>14964</c:v>
                </c:pt>
                <c:pt idx="6">
                  <c:v>12800.068685314691</c:v>
                </c:pt>
                <c:pt idx="7">
                  <c:v>10333.740711167848</c:v>
                </c:pt>
                <c:pt idx="8">
                  <c:v>7542.5141492640832</c:v>
                </c:pt>
                <c:pt idx="9">
                  <c:v>4402.392204052856</c:v>
                </c:pt>
                <c:pt idx="10">
                  <c:v>887.78696876160393</c:v>
                </c:pt>
              </c:numCache>
            </c:numRef>
          </c:val>
          <c:smooth val="0"/>
          <c:extLst>
            <c:ext xmlns:c16="http://schemas.microsoft.com/office/drawing/2014/chart" uri="{C3380CC4-5D6E-409C-BE32-E72D297353CC}">
              <c16:uniqueId val="{00000000-D40A-2746-B22D-5A233BE2398C}"/>
            </c:ext>
          </c:extLst>
        </c:ser>
        <c:ser>
          <c:idx val="1"/>
          <c:order val="1"/>
          <c:tx>
            <c:strRef>
              <c:f>FARR_courant!$A$77</c:f>
              <c:strCache>
                <c:ptCount val="1"/>
                <c:pt idx="0">
                  <c:v>Passif des régimes de retraite  (budget 2020-2021)</c:v>
                </c:pt>
              </c:strCache>
            </c:strRef>
          </c:tx>
          <c:spPr>
            <a:ln w="28575" cap="rnd">
              <a:solidFill>
                <a:schemeClr val="accent2"/>
              </a:solidFill>
              <a:round/>
            </a:ln>
            <a:effectLst/>
          </c:spPr>
          <c:marker>
            <c:symbol val="none"/>
          </c:marker>
          <c:cat>
            <c:numRef>
              <c:f>FARR_courant!$D$60:$O$60</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FARR_courant!$D$77:$O$77</c:f>
              <c:numCache>
                <c:formatCode>#,##0</c:formatCode>
                <c:ptCount val="12"/>
                <c:pt idx="0">
                  <c:v>28041</c:v>
                </c:pt>
                <c:pt idx="1">
                  <c:v>26698</c:v>
                </c:pt>
                <c:pt idx="2">
                  <c:v>24677</c:v>
                </c:pt>
                <c:pt idx="3">
                  <c:v>16428</c:v>
                </c:pt>
                <c:pt idx="4">
                  <c:v>18581</c:v>
                </c:pt>
                <c:pt idx="5">
                  <c:v>14586</c:v>
                </c:pt>
                <c:pt idx="6">
                  <c:v>11867</c:v>
                </c:pt>
                <c:pt idx="7">
                  <c:v>8694</c:v>
                </c:pt>
                <c:pt idx="8">
                  <c:v>5268</c:v>
                </c:pt>
                <c:pt idx="9">
                  <c:v>1094</c:v>
                </c:pt>
                <c:pt idx="10">
                  <c:v>-3487</c:v>
                </c:pt>
              </c:numCache>
            </c:numRef>
          </c:val>
          <c:smooth val="0"/>
          <c:extLst>
            <c:ext xmlns:c16="http://schemas.microsoft.com/office/drawing/2014/chart" uri="{C3380CC4-5D6E-409C-BE32-E72D297353CC}">
              <c16:uniqueId val="{00000001-D40A-2746-B22D-5A233BE2398C}"/>
            </c:ext>
          </c:extLst>
        </c:ser>
        <c:ser>
          <c:idx val="2"/>
          <c:order val="2"/>
          <c:tx>
            <c:strRef>
              <c:f>FARR_courant!$A$78</c:f>
              <c:strCache>
                <c:ptCount val="1"/>
                <c:pt idx="0">
                  <c:v>Passif des régimes de retraite  (budget 2021-2022)</c:v>
                </c:pt>
              </c:strCache>
            </c:strRef>
          </c:tx>
          <c:spPr>
            <a:ln w="28575" cap="rnd">
              <a:solidFill>
                <a:schemeClr val="accent5"/>
              </a:solidFill>
              <a:round/>
            </a:ln>
            <a:effectLst/>
          </c:spPr>
          <c:marker>
            <c:symbol val="none"/>
          </c:marker>
          <c:cat>
            <c:numRef>
              <c:f>FARR_courant!$D$60:$O$60</c:f>
              <c:numCache>
                <c:formatCode>General</c:formatCode>
                <c:ptCount val="12"/>
                <c:pt idx="0">
                  <c:v>2015</c:v>
                </c:pt>
                <c:pt idx="1">
                  <c:v>2016</c:v>
                </c:pt>
                <c:pt idx="2">
                  <c:v>2017</c:v>
                </c:pt>
                <c:pt idx="3">
                  <c:v>2018</c:v>
                </c:pt>
                <c:pt idx="4">
                  <c:v>2019</c:v>
                </c:pt>
                <c:pt idx="5">
                  <c:v>2020</c:v>
                </c:pt>
                <c:pt idx="6">
                  <c:v>2021</c:v>
                </c:pt>
                <c:pt idx="7">
                  <c:v>2022</c:v>
                </c:pt>
                <c:pt idx="8">
                  <c:v>2023</c:v>
                </c:pt>
                <c:pt idx="9">
                  <c:v>2024</c:v>
                </c:pt>
                <c:pt idx="10">
                  <c:v>2025</c:v>
                </c:pt>
                <c:pt idx="11">
                  <c:v>2026</c:v>
                </c:pt>
              </c:numCache>
            </c:numRef>
          </c:cat>
          <c:val>
            <c:numRef>
              <c:f>FARR_courant!$D$78:$O$78</c:f>
              <c:numCache>
                <c:formatCode>General</c:formatCode>
                <c:ptCount val="12"/>
                <c:pt idx="5" formatCode="#,##0">
                  <c:v>14716</c:v>
                </c:pt>
                <c:pt idx="6" formatCode="#,##0">
                  <c:v>12287</c:v>
                </c:pt>
                <c:pt idx="7" formatCode="#,##0">
                  <c:v>9486</c:v>
                </c:pt>
                <c:pt idx="8" formatCode="#,##0">
                  <c:v>6482</c:v>
                </c:pt>
                <c:pt idx="9" formatCode="#,##0">
                  <c:v>2873</c:v>
                </c:pt>
                <c:pt idx="10">
                  <c:v>441</c:v>
                </c:pt>
                <c:pt idx="11">
                  <c:v>-2638</c:v>
                </c:pt>
              </c:numCache>
            </c:numRef>
          </c:val>
          <c:smooth val="0"/>
          <c:extLst>
            <c:ext xmlns:c16="http://schemas.microsoft.com/office/drawing/2014/chart" uri="{C3380CC4-5D6E-409C-BE32-E72D297353CC}">
              <c16:uniqueId val="{00000002-D40A-2746-B22D-5A233BE2398C}"/>
            </c:ext>
          </c:extLst>
        </c:ser>
        <c:dLbls>
          <c:showLegendKey val="0"/>
          <c:showVal val="0"/>
          <c:showCatName val="0"/>
          <c:showSerName val="0"/>
          <c:showPercent val="0"/>
          <c:showBubbleSize val="0"/>
        </c:dLbls>
        <c:smooth val="0"/>
        <c:axId val="260470032"/>
        <c:axId val="260282496"/>
      </c:lineChart>
      <c:catAx>
        <c:axId val="26047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260282496"/>
        <c:crosses val="autoZero"/>
        <c:auto val="1"/>
        <c:lblAlgn val="ctr"/>
        <c:lblOffset val="100"/>
        <c:noMultiLvlLbl val="0"/>
      </c:catAx>
      <c:valAx>
        <c:axId val="260282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crossAx val="260470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50800</xdr:colOff>
      <xdr:row>24</xdr:row>
      <xdr:rowOff>101600</xdr:rowOff>
    </xdr:from>
    <xdr:to>
      <xdr:col>7</xdr:col>
      <xdr:colOff>177800</xdr:colOff>
      <xdr:row>38</xdr:row>
      <xdr:rowOff>165100</xdr:rowOff>
    </xdr:to>
    <xdr:graphicFrame macro="">
      <xdr:nvGraphicFramePr>
        <xdr:cNvPr id="2" name="Graphique 1">
          <a:extLst>
            <a:ext uri="{FF2B5EF4-FFF2-40B4-BE49-F238E27FC236}">
              <a16:creationId xmlns:a16="http://schemas.microsoft.com/office/drawing/2014/main" id="{BC29CE5F-1473-2B41-B845-F944658DF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793750</xdr:colOff>
      <xdr:row>11</xdr:row>
      <xdr:rowOff>165100</xdr:rowOff>
    </xdr:from>
    <xdr:to>
      <xdr:col>6</xdr:col>
      <xdr:colOff>412750</xdr:colOff>
      <xdr:row>25</xdr:row>
      <xdr:rowOff>63500</xdr:rowOff>
    </xdr:to>
    <xdr:graphicFrame macro="">
      <xdr:nvGraphicFramePr>
        <xdr:cNvPr id="4" name="Graphique 3">
          <a:extLst>
            <a:ext uri="{FF2B5EF4-FFF2-40B4-BE49-F238E27FC236}">
              <a16:creationId xmlns:a16="http://schemas.microsoft.com/office/drawing/2014/main" id="{97A2ED54-D82F-E249-9559-9E8C067DE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196850</xdr:colOff>
      <xdr:row>34</xdr:row>
      <xdr:rowOff>184150</xdr:rowOff>
    </xdr:from>
    <xdr:to>
      <xdr:col>21</xdr:col>
      <xdr:colOff>641350</xdr:colOff>
      <xdr:row>48</xdr:row>
      <xdr:rowOff>107950</xdr:rowOff>
    </xdr:to>
    <xdr:graphicFrame macro="">
      <xdr:nvGraphicFramePr>
        <xdr:cNvPr id="2" name="Graphique 1">
          <a:extLst>
            <a:ext uri="{FF2B5EF4-FFF2-40B4-BE49-F238E27FC236}">
              <a16:creationId xmlns:a16="http://schemas.microsoft.com/office/drawing/2014/main" id="{0C95ACCD-2F63-8C40-BEDA-FCE3B5652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762000</xdr:colOff>
      <xdr:row>35</xdr:row>
      <xdr:rowOff>31750</xdr:rowOff>
    </xdr:from>
    <xdr:to>
      <xdr:col>27</xdr:col>
      <xdr:colOff>381000</xdr:colOff>
      <xdr:row>48</xdr:row>
      <xdr:rowOff>146050</xdr:rowOff>
    </xdr:to>
    <xdr:graphicFrame macro="">
      <xdr:nvGraphicFramePr>
        <xdr:cNvPr id="3" name="Graphique 2">
          <a:extLst>
            <a:ext uri="{FF2B5EF4-FFF2-40B4-BE49-F238E27FC236}">
              <a16:creationId xmlns:a16="http://schemas.microsoft.com/office/drawing/2014/main" id="{C0BDC788-91E3-BC4A-8E4B-341C2D09F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488950</xdr:colOff>
      <xdr:row>75</xdr:row>
      <xdr:rowOff>6350</xdr:rowOff>
    </xdr:from>
    <xdr:to>
      <xdr:col>25</xdr:col>
      <xdr:colOff>127000</xdr:colOff>
      <xdr:row>100</xdr:row>
      <xdr:rowOff>38100</xdr:rowOff>
    </xdr:to>
    <xdr:graphicFrame macro="">
      <xdr:nvGraphicFramePr>
        <xdr:cNvPr id="4" name="Graphique 3">
          <a:extLst>
            <a:ext uri="{FF2B5EF4-FFF2-40B4-BE49-F238E27FC236}">
              <a16:creationId xmlns:a16="http://schemas.microsoft.com/office/drawing/2014/main" id="{EBB3FF2E-24D2-134E-8F46-700B6FC50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196850</xdr:colOff>
      <xdr:row>34</xdr:row>
      <xdr:rowOff>184150</xdr:rowOff>
    </xdr:from>
    <xdr:to>
      <xdr:col>21</xdr:col>
      <xdr:colOff>641350</xdr:colOff>
      <xdr:row>48</xdr:row>
      <xdr:rowOff>107950</xdr:rowOff>
    </xdr:to>
    <xdr:graphicFrame macro="">
      <xdr:nvGraphicFramePr>
        <xdr:cNvPr id="2" name="Graphique 1">
          <a:extLst>
            <a:ext uri="{FF2B5EF4-FFF2-40B4-BE49-F238E27FC236}">
              <a16:creationId xmlns:a16="http://schemas.microsoft.com/office/drawing/2014/main" id="{F77BADB6-6D78-F04F-A825-6C76E9B9D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762000</xdr:colOff>
      <xdr:row>35</xdr:row>
      <xdr:rowOff>31750</xdr:rowOff>
    </xdr:from>
    <xdr:to>
      <xdr:col>27</xdr:col>
      <xdr:colOff>381000</xdr:colOff>
      <xdr:row>48</xdr:row>
      <xdr:rowOff>146050</xdr:rowOff>
    </xdr:to>
    <xdr:graphicFrame macro="">
      <xdr:nvGraphicFramePr>
        <xdr:cNvPr id="3" name="Graphique 2">
          <a:extLst>
            <a:ext uri="{FF2B5EF4-FFF2-40B4-BE49-F238E27FC236}">
              <a16:creationId xmlns:a16="http://schemas.microsoft.com/office/drawing/2014/main" id="{79C8FF84-C02E-0441-AF4B-A471A71C8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488950</xdr:colOff>
      <xdr:row>75</xdr:row>
      <xdr:rowOff>6350</xdr:rowOff>
    </xdr:from>
    <xdr:to>
      <xdr:col>25</xdr:col>
      <xdr:colOff>127000</xdr:colOff>
      <xdr:row>100</xdr:row>
      <xdr:rowOff>38100</xdr:rowOff>
    </xdr:to>
    <xdr:graphicFrame macro="">
      <xdr:nvGraphicFramePr>
        <xdr:cNvPr id="4" name="Graphique 3">
          <a:extLst>
            <a:ext uri="{FF2B5EF4-FFF2-40B4-BE49-F238E27FC236}">
              <a16:creationId xmlns:a16="http://schemas.microsoft.com/office/drawing/2014/main" id="{3A2DB57A-0F2E-0B4A-8971-55CBB631BD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william ethier" id="{DCE01C9D-7A39-4CE3-9A8B-4BAB1D8B87F1}" userId="william ethier" providerId="None"/>
  <person displayName="julien navaux" id="{3FD2C7FC-A696-7D47-B1B2-8A5FF2A1BCD9}" userId="S::julien.navaux@hec.ca::f7099683-1015-48c0-aabc-c7c3ede13297" providerId="AD"/>
  <person displayName="pierre-carl michaud" id="{38D83175-47B7-DF45-98C8-D01D184816BD}" userId="S::pierre-carl.michaud@hec.ca::3835200c-b8ab-4765-b9b0-8f5f1c562e60" providerId="AD"/>
</personList>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0-04-21T13:29:34.29" personId="{38D83175-47B7-DF45-98C8-D01D184816BD}" id="{1C1B6EEF-A188-0645-B225-F1240D6FBB2E}">
    <text>Les totaux se trouvent dans au état consolisé mais par secteur de reddition de compte à l’Annexe 2 du Volume 1. Attention pour années ou revenus du fonds des générations est séparé dans une autre catégorie au état consolidé</text>
  </threadedComment>
  <threadedComment ref="A17" dT="2020-04-21T13:31:29.53" personId="{38D83175-47B7-DF45-98C8-D01D184816BD}" id="{FA908D49-1118-2E47-AC34-B47049AD6A2E}">
    <text xml:space="preserve">Information au poste 4 des états financiers (volume 1)
</text>
  </threadedComment>
  <threadedComment ref="A24" dT="2020-04-21T13:27:52.13" personId="{38D83175-47B7-DF45-98C8-D01D184816BD}" id="{6BC24C7A-3AF9-E04F-9E0E-AD465FA2CB90}">
    <text>Le détail par poste se trouve en Annexe 6 du volume 1</text>
  </threadedComment>
  <threadedComment ref="Q38" dT="2021-05-18T17:09:43.48" personId="{3FD2C7FC-A696-7D47-B1B2-8A5FF2A1BCD9}" id="{E58178DD-1E02-A24A-8D88-55BAB1DCD4EB}">
    <text>1250 = Provision pour risques économiques et autres mesures de soutien et de relance
632 : Changement d’application de la norme comptable
sur les paiements de transfert</text>
  </threadedComment>
  <threadedComment ref="A39" dT="2020-04-21T13:42:58.21" personId="{38D83175-47B7-DF45-98C8-D01D184816BD}" id="{EA611013-DE5C-3847-990F-B9E7D98D0F01}">
    <text>Section 12 des États-Financiers. Ne prendre que revenus de placement de portefeuille a part et le reste dans revenu général</text>
  </threadedComment>
  <threadedComment ref="A50" dT="2020-04-21T13:43:51.02" personId="{38D83175-47B7-DF45-98C8-D01D184816BD}" id="{B5E3658E-70E3-E04A-A64D-ED8C0C8B1EA3}">
    <text>Poste 5, Loi sur l’équilibre budgétaire dans volume 1</text>
  </threadedComment>
  <threadedComment ref="A59" dT="2020-04-21T15:52:57.61" personId="{38D83175-47B7-DF45-98C8-D01D184816BD}" id="{082EDCF7-D6BD-9A40-9642-CB2B41D33C9D}">
    <text xml:space="preserve">On l’obtient par résidu du changement de la dette </text>
  </threadedComment>
  <threadedComment ref="O60" dT="2020-04-21T15:57:25.34" personId="{38D83175-47B7-DF45-98C8-D01D184816BD}" id="{62C138AB-7A49-2D46-9047-DFF726A68F1B}">
    <text xml:space="preserve">Ce montant n’est pas explicite. Mais il y a un footnote 2 sur la dette en dollar canadien de rachat de dettes canadiennes qui totalisent pas exactement 8G. Donc on met le 8G d’en haut et la différence se retrouve dans l’ajustement du flux sur la dette (résidu). </text>
  </threadedComment>
  <threadedComment ref="Q60" dT="2021-05-13T15:31:58.80" personId="{DCE01C9D-7A39-4CE3-9A8B-4BAB1D8B87F1}" id="{E5BA9D06-E15E-B947-9101-358228BD11BC}">
    <text>Budget 2020-2021 p.405</text>
  </threadedComment>
  <threadedComment ref="A61" dT="2020-04-21T15:51:31.84" personId="{38D83175-47B7-DF45-98C8-D01D184816BD}" id="{FD28498A-FEB1-DA4F-AD94-88EA7DC15FAB}">
    <text>Section 18 des états financiers consolidés, Vol 1</text>
  </threadedComment>
  <threadedComment ref="Q62" dT="2021-05-13T15:43:11.21" personId="{DCE01C9D-7A39-4CE3-9A8B-4BAB1D8B87F1}" id="{3016DB58-FDFA-C74E-89D3-1EE94377E4CC}">
    <text>Même croissance</text>
  </threadedComment>
  <threadedComment ref="Q63" dT="2021-05-13T15:43:11.21" personId="{DCE01C9D-7A39-4CE3-9A8B-4BAB1D8B87F1}" id="{CB7CC5DE-5678-354A-BE14-38076330C740}">
    <text>Même croissance</text>
  </threadedComment>
  <threadedComment ref="A64" dT="2020-04-21T15:52:08.43" personId="{38D83175-47B7-DF45-98C8-D01D184816BD}" id="{BEBD6BA1-4B93-E24C-A22F-5D5636123460}">
    <text xml:space="preserve">Cette ligne devrait matcher ce qui est au blian de la dette brutte. </text>
  </threadedComment>
  <threadedComment ref="A66" dT="2020-04-21T13:53:18.64" personId="{38D83175-47B7-DF45-98C8-D01D184816BD}" id="{D16C2BA3-D0FC-BC44-BB8E-1B5BF10DBF05}">
    <text xml:space="preserve">Section 6 du Volume 1 Analyse des principales tendances
</text>
  </threadedComment>
  <threadedComment ref="A71" dT="2020-04-21T13:53:18.64" personId="{38D83175-47B7-DF45-98C8-D01D184816BD}" id="{BE009872-3277-D34D-8CB8-AAAEC9F74ECF}">
    <text xml:space="preserve">Section 6 du Volume 1 Analyse des principales tendances
</text>
  </threadedComment>
  <threadedComment ref="Q84" dT="2021-05-13T19:02:31.51" personId="{DCE01C9D-7A39-4CE3-9A8B-4BAB1D8B87F1}" id="{D84A0F33-5E21-CB42-8EC7-9C8E5D6F478D}">
    <text>Changement de norme.  Voir p.467 et 503.  Les prévisions sont disponible, mais il n'inclu pas les actifs non financiers qui ne sont pas immo.</text>
  </threadedComment>
</ThreadedComments>
</file>

<file path=xl/threadedComments/threadedComment2.xml><?xml version="1.0" encoding="utf-8"?>
<ThreadedComments xmlns="http://schemas.microsoft.com/office/spreadsheetml/2018/threadedcomments" xmlns:x="http://schemas.openxmlformats.org/spreadsheetml/2006/main">
  <threadedComment ref="R6" dT="2021-05-14T18:20:38.09" personId="{3FD2C7FC-A696-7D47-B1B2-8A5FF2A1BCD9}" id="{BF969C99-A043-BC40-9CDC-6E2A39259CE8}">
    <text>Taux d’inflation issu du budget 2021-2022 (page 367)</text>
  </threadedComment>
</ThreadedComments>
</file>

<file path=xl/threadedComments/threadedComment3.xml><?xml version="1.0" encoding="utf-8"?>
<ThreadedComments xmlns="http://schemas.microsoft.com/office/spreadsheetml/2018/threadedcomments" xmlns:x="http://schemas.openxmlformats.org/spreadsheetml/2006/main">
  <threadedComment ref="G4" dT="2020-07-02T16:24:50.57" personId="{3FD2C7FC-A696-7D47-B1B2-8A5FF2A1BCD9}" id="{04A830C1-6B23-274F-BACC-1AD9DC0B8373}">
    <text>Part de la dette brute dans le PIB de 2004 à 2009 : ANALYSE DES ÉTATS FINANCIERS 2009-2010</text>
  </threadedComment>
  <threadedComment ref="R4" dT="2021-05-17T17:58:29.30" personId="{3FD2C7FC-A696-7D47-B1B2-8A5FF2A1BCD9}" id="{02459DE1-0441-384D-BA69-28ED89F79BBC}">
    <text>43,2% Issu du budget 2021-2022</text>
  </threadedComment>
  <threadedComment ref="S4" dT="2021-05-17T17:58:55.57" personId="{3FD2C7FC-A696-7D47-B1B2-8A5FF2A1BCD9}" id="{A63B3A41-64F3-134F-9B02-90FAF9B2BFE2}">
    <text>49,5% Issu du budget 2021-2022</text>
  </threadedComment>
  <threadedComment ref="S10" dT="2021-05-18T18:43:57.61" personId="{3FD2C7FC-A696-7D47-B1B2-8A5FF2A1BCD9}" id="{DD46EE11-2D76-6C42-9A17-16006FCFDE3C}">
    <text>Taux d’inflation de 1,9% issu du plan budgétaire 2021+2022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B17" dT="2021-05-17T15:22:17.84" personId="{3FD2C7FC-A696-7D47-B1B2-8A5FF2A1BCD9}" id="{58EEEEBF-4474-A74E-8AFF-59C5AF10DAF5}">
    <text>Budget 2021-2022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A14" dT="2020-06-18T14:14:15.57" personId="{3FD2C7FC-A696-7D47-B1B2-8A5FF2A1BCD9}" id="{36116247-58D1-9447-8B97-CEE37E235F6C}">
    <text>Données disponibles dans chaque compte public</text>
  </threadedComment>
  <threadedComment ref="I77" dT="2020-06-17T21:01:32.25" personId="{3FD2C7FC-A696-7D47-B1B2-8A5FF2A1BCD9}" id="{5CA08A8A-ED48-6241-9F89-C4E940615440}">
    <text>Budget 2020-2021 : page 379</text>
  </threadedComment>
</ThreadedComments>
</file>

<file path=xl/threadedComments/threadedComment6.xml><?xml version="1.0" encoding="utf-8"?>
<ThreadedComments xmlns="http://schemas.microsoft.com/office/spreadsheetml/2018/threadedcomments" xmlns:x="http://schemas.openxmlformats.org/spreadsheetml/2006/main">
  <threadedComment ref="A14" dT="2020-06-18T14:14:15.57" personId="{3FD2C7FC-A696-7D47-B1B2-8A5FF2A1BCD9}" id="{1B98CDAB-874D-AB4F-A691-5FFA5CF49629}">
    <text>Données disponibles dans chaque compte public</text>
  </threadedComment>
  <threadedComment ref="I77" dT="2020-06-17T21:01:32.25" personId="{3FD2C7FC-A696-7D47-B1B2-8A5FF2A1BCD9}" id="{0B5BF02E-2985-F245-B55C-10CC5A4D55C7}">
    <text>Budget 2020-2021 : page 379</text>
  </threadedComment>
</ThreadedComments>
</file>

<file path=xl/threadedComments/threadedComment7.xml><?xml version="1.0" encoding="utf-8"?>
<ThreadedComments xmlns="http://schemas.microsoft.com/office/spreadsheetml/2018/threadedcomments" xmlns:x="http://schemas.openxmlformats.org/spreadsheetml/2006/main">
  <threadedComment ref="K30" dT="2021-05-12T17:19:59.85" personId="{DCE01C9D-7A39-4CE3-9A8B-4BAB1D8B87F1}" id="{CBF9C039-A4D1-4204-8068-BE534C9A0643}">
    <text>http://www.finances.gouv.qc.ca/fr/La_dette_du_Quebec328.asp</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hyperlink" Target="https://www150.statcan.gc.ca/t1/tbl1/en/tv.action?pid=1810000501"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hyperlink" Target="https://www150.statcan.gc.ca/t1/tbl1/en/tv.action?pid=1810000501" TargetMode="External"/><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hyperlink" Target="https://www150.statcan.gc.ca/t1/tbl1/en/tv.action?pid=1810000501"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107"/>
  <sheetViews>
    <sheetView tabSelected="1" zoomScale="110" zoomScaleNormal="110" zoomScalePageLayoutView="125" workbookViewId="0">
      <pane xSplit="1" ySplit="1" topLeftCell="B2" activePane="bottomRight" state="frozen"/>
      <selection activeCell="R19" sqref="R19"/>
      <selection pane="topRight" activeCell="R19" sqref="R19"/>
      <selection pane="bottomLeft" activeCell="R19" sqref="R19"/>
      <selection pane="bottomRight" activeCell="Q6" sqref="Q6"/>
    </sheetView>
  </sheetViews>
  <sheetFormatPr baseColWidth="10" defaultRowHeight="16" x14ac:dyDescent="0.2"/>
  <cols>
    <col min="1" max="1" width="23.33203125" style="1" customWidth="1"/>
    <col min="16" max="16" width="11.6640625" style="14" customWidth="1"/>
    <col min="17" max="17" width="11.5" bestFit="1" customWidth="1"/>
  </cols>
  <sheetData>
    <row r="1" spans="1:19" s="14" customFormat="1" ht="17" x14ac:dyDescent="0.2">
      <c r="A1" s="39" t="s">
        <v>48</v>
      </c>
      <c r="B1" s="14">
        <v>2006</v>
      </c>
      <c r="C1" s="14">
        <v>2007</v>
      </c>
      <c r="D1" s="14">
        <v>2008</v>
      </c>
      <c r="E1" s="14">
        <v>2009</v>
      </c>
      <c r="F1" s="14">
        <v>2010</v>
      </c>
      <c r="G1" s="14">
        <v>2011</v>
      </c>
      <c r="H1" s="14">
        <v>2012</v>
      </c>
      <c r="I1" s="14">
        <v>2013</v>
      </c>
      <c r="J1" s="14">
        <v>2014</v>
      </c>
      <c r="K1" s="14">
        <v>2015</v>
      </c>
      <c r="L1" s="14">
        <v>2016</v>
      </c>
      <c r="M1" s="14">
        <v>2017</v>
      </c>
      <c r="N1" s="14">
        <v>2018</v>
      </c>
      <c r="O1" s="14">
        <v>2019</v>
      </c>
      <c r="P1" s="31">
        <v>2020</v>
      </c>
      <c r="Q1">
        <v>2021</v>
      </c>
    </row>
    <row r="2" spans="1:19" s="14" customFormat="1" ht="17" x14ac:dyDescent="0.2">
      <c r="A2" s="40" t="s">
        <v>0</v>
      </c>
      <c r="Q2"/>
    </row>
    <row r="3" spans="1:19" s="14" customFormat="1" ht="17" x14ac:dyDescent="0.2">
      <c r="A3" s="41" t="s">
        <v>10</v>
      </c>
      <c r="Q3"/>
    </row>
    <row r="4" spans="1:19" s="14" customFormat="1" ht="17" x14ac:dyDescent="0.2">
      <c r="A4" s="39" t="s">
        <v>1</v>
      </c>
      <c r="K4" s="14">
        <f t="shared" ref="K4:N4" si="0">K5+K6</f>
        <v>27547</v>
      </c>
      <c r="L4" s="14">
        <f t="shared" si="0"/>
        <v>28753</v>
      </c>
      <c r="M4" s="14">
        <f t="shared" si="0"/>
        <v>29231</v>
      </c>
      <c r="N4" s="14">
        <f t="shared" si="0"/>
        <v>29528</v>
      </c>
      <c r="O4" s="14">
        <f>O5+O6</f>
        <v>31773</v>
      </c>
      <c r="P4" s="34">
        <v>33814</v>
      </c>
      <c r="Q4" s="176">
        <v>34998</v>
      </c>
      <c r="R4" s="34"/>
    </row>
    <row r="5" spans="1:19" s="14" customFormat="1" ht="17" x14ac:dyDescent="0.2">
      <c r="A5" s="42" t="s">
        <v>3</v>
      </c>
      <c r="B5" s="14">
        <f>16466+486+252</f>
        <v>17204</v>
      </c>
      <c r="C5" s="14">
        <f>18480+495+276</f>
        <v>19251</v>
      </c>
      <c r="D5" s="14">
        <f>18648+514+285</f>
        <v>19447</v>
      </c>
      <c r="E5" s="14">
        <f>17949+521+296</f>
        <v>18766</v>
      </c>
      <c r="F5" s="14">
        <f>17352+519+317</f>
        <v>18188</v>
      </c>
      <c r="G5" s="14">
        <f>18835+544+353</f>
        <v>19732</v>
      </c>
      <c r="H5" s="14">
        <f>20038+1090</f>
        <v>21128</v>
      </c>
      <c r="I5" s="14">
        <f>25070-I6</f>
        <v>21506</v>
      </c>
      <c r="J5" s="14">
        <f>26203-J6</f>
        <v>22473</v>
      </c>
      <c r="K5" s="14">
        <f>27547-K6</f>
        <v>23460</v>
      </c>
      <c r="L5" s="14">
        <f>28753-L6</f>
        <v>24726</v>
      </c>
      <c r="M5" s="14">
        <f>29231-M6</f>
        <v>25290</v>
      </c>
      <c r="N5" s="14">
        <f>29528-N6</f>
        <v>25349</v>
      </c>
      <c r="O5" s="14">
        <v>27206</v>
      </c>
      <c r="P5" s="34">
        <f>P4-P6</f>
        <v>28841</v>
      </c>
      <c r="Q5" s="176">
        <f>Q4-Q6</f>
        <v>29897</v>
      </c>
    </row>
    <row r="6" spans="1:19" s="14" customFormat="1" ht="17" x14ac:dyDescent="0.2">
      <c r="A6" s="42" t="s">
        <v>2</v>
      </c>
      <c r="B6" s="14">
        <f>3276-486-252</f>
        <v>2538</v>
      </c>
      <c r="C6" s="14">
        <f>3648-495-276</f>
        <v>2877</v>
      </c>
      <c r="D6" s="14">
        <f>3761-514-285</f>
        <v>2962</v>
      </c>
      <c r="E6" s="14">
        <f>3892-521-296</f>
        <v>3075</v>
      </c>
      <c r="F6" s="14">
        <f>4215-519-317</f>
        <v>3379</v>
      </c>
      <c r="G6" s="14">
        <f>4232-544-353</f>
        <v>3335</v>
      </c>
      <c r="H6" s="14">
        <f>4513-1090</f>
        <v>3423</v>
      </c>
      <c r="I6" s="14">
        <v>3564</v>
      </c>
      <c r="J6" s="14">
        <v>3730</v>
      </c>
      <c r="K6" s="14">
        <v>4087</v>
      </c>
      <c r="L6" s="14">
        <v>4027</v>
      </c>
      <c r="M6" s="14">
        <v>3941</v>
      </c>
      <c r="N6" s="14">
        <v>4179</v>
      </c>
      <c r="O6" s="14">
        <v>4567</v>
      </c>
      <c r="P6" s="34">
        <v>4973</v>
      </c>
      <c r="Q6" s="176">
        <v>5101</v>
      </c>
    </row>
    <row r="7" spans="1:19" s="14" customFormat="1" ht="17" x14ac:dyDescent="0.2">
      <c r="A7" s="39" t="s">
        <v>4</v>
      </c>
      <c r="P7" s="34">
        <v>8607</v>
      </c>
      <c r="Q7" s="176">
        <v>8951</v>
      </c>
    </row>
    <row r="8" spans="1:19" s="14" customFormat="1" ht="17" x14ac:dyDescent="0.2">
      <c r="A8" s="42" t="s">
        <v>3</v>
      </c>
      <c r="B8" s="14">
        <f>4787</f>
        <v>4787</v>
      </c>
      <c r="C8" s="14">
        <f>4779</f>
        <v>4779</v>
      </c>
      <c r="D8" s="14">
        <f>4819</f>
        <v>4819</v>
      </c>
      <c r="E8" s="14">
        <f>4176</f>
        <v>4176</v>
      </c>
      <c r="F8" s="14">
        <f>3878</f>
        <v>3878</v>
      </c>
      <c r="G8" s="14">
        <f>3926</f>
        <v>3926</v>
      </c>
      <c r="H8" s="14">
        <f>4212</f>
        <v>4212</v>
      </c>
      <c r="I8" s="14">
        <f>6034-I9</f>
        <v>4281</v>
      </c>
      <c r="J8" s="14">
        <f>5625-J9</f>
        <v>3611</v>
      </c>
      <c r="K8" s="14">
        <f>5837-K9</f>
        <v>3957</v>
      </c>
      <c r="L8" s="14">
        <f>7016-L9</f>
        <v>5040</v>
      </c>
      <c r="M8" s="14">
        <f>7480-M9</f>
        <v>5574</v>
      </c>
      <c r="N8" s="14">
        <f>8142-N9</f>
        <v>6358</v>
      </c>
      <c r="O8" s="14">
        <v>7457</v>
      </c>
      <c r="P8" s="34">
        <f>P7-P9</f>
        <v>6605</v>
      </c>
      <c r="Q8" s="176">
        <f>Q7-Q9</f>
        <v>6702</v>
      </c>
    </row>
    <row r="9" spans="1:19" s="14" customFormat="1" ht="17" x14ac:dyDescent="0.2">
      <c r="A9" s="42" t="s">
        <v>2</v>
      </c>
      <c r="B9" s="14">
        <v>1209</v>
      </c>
      <c r="C9" s="14">
        <v>1391</v>
      </c>
      <c r="D9" s="14">
        <v>1440</v>
      </c>
      <c r="E9" s="14">
        <v>1630</v>
      </c>
      <c r="F9" s="14">
        <v>1617</v>
      </c>
      <c r="G9" s="14">
        <v>1847</v>
      </c>
      <c r="H9" s="14">
        <v>1747</v>
      </c>
      <c r="I9" s="14">
        <v>1753</v>
      </c>
      <c r="J9" s="14">
        <v>2014</v>
      </c>
      <c r="K9" s="14">
        <v>1880</v>
      </c>
      <c r="L9" s="14">
        <v>1976</v>
      </c>
      <c r="M9" s="14">
        <v>1906</v>
      </c>
      <c r="N9" s="14">
        <v>1784</v>
      </c>
      <c r="O9" s="14">
        <v>1726</v>
      </c>
      <c r="P9" s="34">
        <v>2002</v>
      </c>
      <c r="Q9" s="176">
        <v>2249</v>
      </c>
      <c r="R9" s="34"/>
      <c r="S9" s="34"/>
    </row>
    <row r="10" spans="1:19" s="14" customFormat="1" ht="17" x14ac:dyDescent="0.2">
      <c r="A10" s="43" t="s">
        <v>26</v>
      </c>
      <c r="B10" s="14">
        <v>5563</v>
      </c>
      <c r="C10" s="14">
        <v>5601</v>
      </c>
      <c r="D10" s="14">
        <v>5958</v>
      </c>
      <c r="E10" s="14">
        <v>6251</v>
      </c>
      <c r="F10" s="14">
        <v>5605</v>
      </c>
      <c r="G10" s="14">
        <v>6070</v>
      </c>
      <c r="H10" s="14">
        <v>6640</v>
      </c>
      <c r="I10" s="14">
        <v>6391</v>
      </c>
      <c r="J10" s="14">
        <v>6251</v>
      </c>
      <c r="K10" s="14">
        <v>6397</v>
      </c>
      <c r="L10" s="14">
        <v>6614</v>
      </c>
      <c r="M10" s="14">
        <v>5969</v>
      </c>
      <c r="N10" s="14">
        <v>6221</v>
      </c>
      <c r="O10" s="14">
        <v>6359</v>
      </c>
      <c r="P10" s="34">
        <v>6522</v>
      </c>
      <c r="Q10" s="176">
        <v>6398</v>
      </c>
      <c r="R10"/>
      <c r="S10"/>
    </row>
    <row r="11" spans="1:19" s="14" customFormat="1" ht="17" x14ac:dyDescent="0.2">
      <c r="A11" s="43" t="s">
        <v>27</v>
      </c>
      <c r="F11" s="14">
        <v>1469</v>
      </c>
      <c r="G11" s="14">
        <v>1492</v>
      </c>
      <c r="H11" s="14">
        <v>1526</v>
      </c>
      <c r="I11" s="14">
        <v>1577</v>
      </c>
      <c r="J11" s="14">
        <v>1786</v>
      </c>
      <c r="K11" s="14">
        <v>1954</v>
      </c>
      <c r="L11" s="14">
        <v>2090</v>
      </c>
      <c r="M11" s="14">
        <v>2169</v>
      </c>
      <c r="N11" s="14">
        <v>2243</v>
      </c>
      <c r="O11" s="14">
        <v>1853</v>
      </c>
      <c r="P11" s="34">
        <v>1539</v>
      </c>
      <c r="Q11" s="176">
        <v>1156</v>
      </c>
      <c r="R11"/>
      <c r="S11"/>
    </row>
    <row r="12" spans="1:19" s="14" customFormat="1" ht="17" x14ac:dyDescent="0.2">
      <c r="A12" s="43" t="s">
        <v>5</v>
      </c>
      <c r="B12" s="14">
        <f>12609-486-252</f>
        <v>11871</v>
      </c>
      <c r="C12" s="14">
        <f>12851-495-276</f>
        <v>12080</v>
      </c>
      <c r="D12" s="14">
        <f>13146-514-285</f>
        <v>12347</v>
      </c>
      <c r="E12" s="14">
        <f>13595-521-296</f>
        <v>12778</v>
      </c>
      <c r="F12" s="14">
        <f>13466-519-317</f>
        <v>12630</v>
      </c>
      <c r="G12" s="14">
        <f>14807-544-353</f>
        <v>13910</v>
      </c>
      <c r="H12" s="14">
        <f>16620-1090</f>
        <v>15530</v>
      </c>
      <c r="I12" s="14">
        <v>16079</v>
      </c>
      <c r="J12" s="14">
        <v>17135</v>
      </c>
      <c r="K12" s="14">
        <f>17557+100</f>
        <v>17657</v>
      </c>
      <c r="L12" s="14">
        <v>18517</v>
      </c>
      <c r="M12" s="14">
        <v>19269</v>
      </c>
      <c r="N12" s="14">
        <v>20329</v>
      </c>
      <c r="O12" s="14">
        <f>21001</f>
        <v>21001</v>
      </c>
      <c r="P12" s="34">
        <v>21348</v>
      </c>
      <c r="Q12" s="176">
        <v>21377</v>
      </c>
    </row>
    <row r="13" spans="1:19" s="14" customFormat="1" ht="17" x14ac:dyDescent="0.2">
      <c r="A13" s="43" t="s">
        <v>6</v>
      </c>
      <c r="B13" s="14">
        <v>1506</v>
      </c>
      <c r="C13" s="14">
        <v>1641</v>
      </c>
      <c r="D13" s="14">
        <v>1652</v>
      </c>
      <c r="E13" s="14">
        <v>1714</v>
      </c>
      <c r="F13" s="14">
        <v>1878</v>
      </c>
      <c r="G13" s="14">
        <v>2051</v>
      </c>
      <c r="H13" s="14">
        <v>2147</v>
      </c>
      <c r="I13" s="14">
        <v>2084</v>
      </c>
      <c r="J13" s="14">
        <v>2198</v>
      </c>
      <c r="K13" s="14">
        <v>2521</v>
      </c>
      <c r="L13" s="14">
        <v>3828</v>
      </c>
      <c r="M13" s="14">
        <v>3297</v>
      </c>
      <c r="N13" s="14">
        <v>3965</v>
      </c>
      <c r="O13" s="14">
        <v>4361</v>
      </c>
      <c r="P13" s="34">
        <v>4535</v>
      </c>
      <c r="Q13" s="176">
        <v>4613</v>
      </c>
    </row>
    <row r="14" spans="1:19" s="14" customFormat="1" ht="34" x14ac:dyDescent="0.2">
      <c r="A14" s="43" t="s">
        <v>7</v>
      </c>
      <c r="B14" s="14">
        <v>4554</v>
      </c>
      <c r="C14" s="14">
        <f>5728+500+76</f>
        <v>6304</v>
      </c>
      <c r="D14" s="14">
        <f>5025+413</f>
        <v>5438</v>
      </c>
      <c r="E14" s="14">
        <f>5013+636</f>
        <v>5649</v>
      </c>
      <c r="F14" s="14">
        <f>4878+658</f>
        <v>5536</v>
      </c>
      <c r="G14" s="14">
        <f>4838+650</f>
        <v>5488</v>
      </c>
      <c r="H14" s="14">
        <f>4749+682</f>
        <v>5431</v>
      </c>
      <c r="I14" s="14">
        <f>3232+717</f>
        <v>3949</v>
      </c>
      <c r="J14" s="14">
        <f>5430+763</f>
        <v>6193</v>
      </c>
      <c r="K14" s="14">
        <f>5336+761+71</f>
        <v>6168</v>
      </c>
      <c r="L14" s="14">
        <v>5013</v>
      </c>
      <c r="M14" s="14">
        <v>4899</v>
      </c>
      <c r="N14" s="14">
        <v>5093</v>
      </c>
      <c r="O14" s="14">
        <v>5548</v>
      </c>
      <c r="P14" s="34">
        <v>4419</v>
      </c>
      <c r="Q14" s="176">
        <v>4491</v>
      </c>
    </row>
    <row r="15" spans="1:19" s="14" customFormat="1" ht="17" x14ac:dyDescent="0.2">
      <c r="A15" s="43" t="s">
        <v>28</v>
      </c>
      <c r="B15" s="14">
        <v>3427</v>
      </c>
      <c r="C15" s="14">
        <f>3562+5+2+1</f>
        <v>3570</v>
      </c>
      <c r="D15" s="14">
        <f>4314+36</f>
        <v>4350</v>
      </c>
      <c r="E15" s="14">
        <f>4175+1-50</f>
        <v>4126</v>
      </c>
      <c r="F15" s="14">
        <f>7265+7+60</f>
        <v>7332</v>
      </c>
      <c r="G15" s="14">
        <f>7428+16+94</f>
        <v>7538</v>
      </c>
      <c r="H15" s="14">
        <f>7558+9+149</f>
        <v>7716</v>
      </c>
      <c r="I15" s="14">
        <f>9052+12+232</f>
        <v>9296</v>
      </c>
      <c r="J15" s="14">
        <f>8932+19+339</f>
        <v>9290</v>
      </c>
      <c r="K15" s="14">
        <f>8970+32+315</f>
        <v>9317</v>
      </c>
      <c r="L15" s="14">
        <v>9391</v>
      </c>
      <c r="M15" s="14">
        <v>10391</v>
      </c>
      <c r="N15" s="14">
        <v>10398</v>
      </c>
      <c r="O15" s="14">
        <v>11548</v>
      </c>
      <c r="P15" s="34">
        <v>10962</v>
      </c>
      <c r="Q15" s="176">
        <v>9884</v>
      </c>
      <c r="R15" s="34"/>
    </row>
    <row r="16" spans="1:19" ht="17" x14ac:dyDescent="0.2">
      <c r="A16" s="5" t="s">
        <v>8</v>
      </c>
      <c r="B16" s="11">
        <f t="shared" ref="B16:M16" si="1">SUM(B5:B15)</f>
        <v>52659</v>
      </c>
      <c r="C16" s="11">
        <f t="shared" si="1"/>
        <v>57494</v>
      </c>
      <c r="D16" s="11">
        <f t="shared" si="1"/>
        <v>58413</v>
      </c>
      <c r="E16" s="11">
        <f t="shared" si="1"/>
        <v>58165</v>
      </c>
      <c r="F16" s="11">
        <f t="shared" si="1"/>
        <v>61512</v>
      </c>
      <c r="G16" s="11">
        <f t="shared" si="1"/>
        <v>65389</v>
      </c>
      <c r="H16" s="11">
        <f t="shared" si="1"/>
        <v>69500</v>
      </c>
      <c r="I16" s="11">
        <f t="shared" si="1"/>
        <v>70480</v>
      </c>
      <c r="J16" s="11">
        <f t="shared" si="1"/>
        <v>74681</v>
      </c>
      <c r="K16" s="11">
        <f t="shared" si="1"/>
        <v>77398</v>
      </c>
      <c r="L16" s="11">
        <f t="shared" si="1"/>
        <v>81222</v>
      </c>
      <c r="M16" s="11">
        <f t="shared" si="1"/>
        <v>82705</v>
      </c>
      <c r="N16" s="11">
        <f>SUM(N5:N15)</f>
        <v>85919</v>
      </c>
      <c r="O16" s="11">
        <f>SUM(O5:O15)</f>
        <v>91626</v>
      </c>
      <c r="P16" s="12">
        <f>P4+P7+SUM(P10:P15)</f>
        <v>91746</v>
      </c>
      <c r="Q16" s="12">
        <f>Q4+Q7+SUM(Q10:Q15)</f>
        <v>91868</v>
      </c>
    </row>
    <row r="17" spans="1:19" ht="17" x14ac:dyDescent="0.2">
      <c r="A17" s="4" t="s">
        <v>9</v>
      </c>
      <c r="O17" s="32">
        <f>O21/gdp!Q4</f>
        <v>5.2604044239520233E-2</v>
      </c>
    </row>
    <row r="18" spans="1:19" ht="17" x14ac:dyDescent="0.2">
      <c r="A18" s="2" t="s">
        <v>11</v>
      </c>
      <c r="B18">
        <v>4798</v>
      </c>
      <c r="C18">
        <v>5539</v>
      </c>
      <c r="D18">
        <v>7160</v>
      </c>
      <c r="E18">
        <v>8028</v>
      </c>
      <c r="F18">
        <v>8355</v>
      </c>
      <c r="G18">
        <v>8552</v>
      </c>
      <c r="H18">
        <v>7815</v>
      </c>
      <c r="I18">
        <v>7391</v>
      </c>
      <c r="J18">
        <v>7833</v>
      </c>
      <c r="K18">
        <v>9286</v>
      </c>
      <c r="L18">
        <v>9521</v>
      </c>
      <c r="M18">
        <v>10030</v>
      </c>
      <c r="N18">
        <v>11081</v>
      </c>
      <c r="O18">
        <v>11732</v>
      </c>
      <c r="P18" s="34">
        <v>13124</v>
      </c>
      <c r="Q18" s="176">
        <v>13252</v>
      </c>
    </row>
    <row r="19" spans="1:19" ht="17" x14ac:dyDescent="0.2">
      <c r="A19" s="2" t="s">
        <v>12</v>
      </c>
      <c r="B19">
        <v>3185</v>
      </c>
      <c r="C19">
        <v>3649</v>
      </c>
      <c r="D19">
        <v>3925</v>
      </c>
      <c r="E19">
        <v>3740</v>
      </c>
      <c r="F19">
        <v>4148</v>
      </c>
      <c r="G19">
        <v>4309</v>
      </c>
      <c r="H19">
        <v>4511</v>
      </c>
      <c r="I19">
        <v>4792</v>
      </c>
      <c r="J19">
        <v>5290</v>
      </c>
      <c r="K19">
        <v>5282</v>
      </c>
      <c r="L19">
        <v>5487</v>
      </c>
      <c r="M19">
        <v>5946</v>
      </c>
      <c r="N19">
        <v>6096</v>
      </c>
      <c r="O19">
        <v>6306</v>
      </c>
      <c r="P19" s="34">
        <v>6617</v>
      </c>
      <c r="Q19" s="176">
        <v>6800</v>
      </c>
    </row>
    <row r="20" spans="1:19" ht="17" x14ac:dyDescent="0.2">
      <c r="A20" s="2" t="s">
        <v>13</v>
      </c>
      <c r="B20">
        <f>1034+2105</f>
        <v>3139</v>
      </c>
      <c r="C20">
        <f>1070+1712</f>
        <v>2782</v>
      </c>
      <c r="D20">
        <f>1516+2132</f>
        <v>3648</v>
      </c>
      <c r="E20">
        <f>1267+2046</f>
        <v>3313</v>
      </c>
      <c r="F20">
        <f>1461+3146</f>
        <v>4607</v>
      </c>
      <c r="G20">
        <f>1455+3177</f>
        <v>4632</v>
      </c>
      <c r="H20">
        <f>369+1488+2755</f>
        <v>4612</v>
      </c>
      <c r="I20">
        <f>362+1486+733+2753</f>
        <v>5334</v>
      </c>
      <c r="J20">
        <f>1534+1467+2426</f>
        <v>5427</v>
      </c>
      <c r="K20">
        <f>1588+2383</f>
        <v>3971</v>
      </c>
      <c r="L20">
        <f>1542+2351</f>
        <v>3893</v>
      </c>
      <c r="M20">
        <f>1635+2568</f>
        <v>4203</v>
      </c>
      <c r="N20">
        <f>1648+3660</f>
        <v>5308</v>
      </c>
      <c r="O20">
        <f>23120-O18-O19</f>
        <v>5082</v>
      </c>
      <c r="P20" s="14">
        <f>1542+3945</f>
        <v>5487</v>
      </c>
      <c r="Q20" s="176">
        <f>1590+9074-Q22</f>
        <v>6625</v>
      </c>
    </row>
    <row r="21" spans="1:19" ht="17" x14ac:dyDescent="0.2">
      <c r="A21" s="6" t="s">
        <v>14</v>
      </c>
      <c r="B21" s="11">
        <f>SUM(B18:B20)</f>
        <v>11122</v>
      </c>
      <c r="C21" s="11">
        <f t="shared" ref="C21:O21" si="2">SUM(C18:C20)</f>
        <v>11970</v>
      </c>
      <c r="D21" s="11">
        <f t="shared" si="2"/>
        <v>14733</v>
      </c>
      <c r="E21" s="11">
        <f t="shared" si="2"/>
        <v>15081</v>
      </c>
      <c r="F21" s="11">
        <f t="shared" si="2"/>
        <v>17110</v>
      </c>
      <c r="G21" s="11">
        <f t="shared" si="2"/>
        <v>17493</v>
      </c>
      <c r="H21" s="11">
        <f t="shared" si="2"/>
        <v>16938</v>
      </c>
      <c r="I21" s="11">
        <f t="shared" si="2"/>
        <v>17517</v>
      </c>
      <c r="J21" s="11">
        <f t="shared" si="2"/>
        <v>18550</v>
      </c>
      <c r="K21" s="11">
        <f t="shared" si="2"/>
        <v>18539</v>
      </c>
      <c r="L21" s="11">
        <f t="shared" si="2"/>
        <v>18901</v>
      </c>
      <c r="M21" s="11">
        <f t="shared" si="2"/>
        <v>20179</v>
      </c>
      <c r="N21" s="11">
        <f t="shared" si="2"/>
        <v>22485</v>
      </c>
      <c r="O21" s="11">
        <f t="shared" si="2"/>
        <v>23120</v>
      </c>
      <c r="P21" s="12">
        <f>SUM(P18:P20)</f>
        <v>25228</v>
      </c>
      <c r="Q21" s="12">
        <f>SUM(Q18:Q20)</f>
        <v>26677</v>
      </c>
    </row>
    <row r="22" spans="1:19" ht="17" x14ac:dyDescent="0.2">
      <c r="A22" s="6" t="s">
        <v>288</v>
      </c>
      <c r="B22" s="11"/>
      <c r="C22" s="11"/>
      <c r="D22" s="11"/>
      <c r="E22" s="11"/>
      <c r="F22" s="11"/>
      <c r="G22" s="11"/>
      <c r="H22" s="11"/>
      <c r="I22" s="11"/>
      <c r="J22" s="11"/>
      <c r="K22" s="11"/>
      <c r="L22" s="11"/>
      <c r="M22" s="11"/>
      <c r="N22" s="11"/>
      <c r="O22" s="11"/>
      <c r="P22" s="12"/>
      <c r="Q22" s="11">
        <f>4039</f>
        <v>4039</v>
      </c>
    </row>
    <row r="23" spans="1:19" ht="17" x14ac:dyDescent="0.2">
      <c r="A23" s="8" t="s">
        <v>15</v>
      </c>
      <c r="B23" s="11">
        <f>B16+B21</f>
        <v>63781</v>
      </c>
      <c r="C23" s="11">
        <f t="shared" ref="C23:O23" si="3">C16+C21</f>
        <v>69464</v>
      </c>
      <c r="D23" s="11">
        <f t="shared" si="3"/>
        <v>73146</v>
      </c>
      <c r="E23" s="11">
        <f t="shared" si="3"/>
        <v>73246</v>
      </c>
      <c r="F23" s="11">
        <f t="shared" si="3"/>
        <v>78622</v>
      </c>
      <c r="G23" s="11">
        <f t="shared" si="3"/>
        <v>82882</v>
      </c>
      <c r="H23" s="11">
        <f>H16+H21</f>
        <v>86438</v>
      </c>
      <c r="I23" s="11">
        <f t="shared" si="3"/>
        <v>87997</v>
      </c>
      <c r="J23" s="11">
        <f t="shared" si="3"/>
        <v>93231</v>
      </c>
      <c r="K23" s="11">
        <f t="shared" si="3"/>
        <v>95937</v>
      </c>
      <c r="L23" s="11">
        <f t="shared" si="3"/>
        <v>100123</v>
      </c>
      <c r="M23" s="11">
        <f>M16+M21</f>
        <v>102884</v>
      </c>
      <c r="N23" s="11">
        <f>N16+N21</f>
        <v>108404</v>
      </c>
      <c r="O23" s="11">
        <f t="shared" si="3"/>
        <v>114746</v>
      </c>
      <c r="P23" s="12">
        <f>P16+P21</f>
        <v>116974</v>
      </c>
      <c r="Q23" s="12">
        <f>Q16+Q21+Q22</f>
        <v>122584</v>
      </c>
    </row>
    <row r="24" spans="1:19" ht="17" x14ac:dyDescent="0.2">
      <c r="A24" s="7" t="s">
        <v>16</v>
      </c>
    </row>
    <row r="25" spans="1:19" ht="17" x14ac:dyDescent="0.2">
      <c r="A25" s="4" t="s">
        <v>17</v>
      </c>
      <c r="B25" s="14">
        <f>21984+97</f>
        <v>22081</v>
      </c>
      <c r="C25" s="14">
        <f>23782+127</f>
        <v>23909</v>
      </c>
      <c r="D25" s="14">
        <f>25416+148+42</f>
        <v>25606</v>
      </c>
      <c r="E25" s="14">
        <f>26718+214+43</f>
        <v>26975</v>
      </c>
      <c r="F25" s="14">
        <f>29666+232+45+43</f>
        <v>29986</v>
      </c>
      <c r="G25" s="14">
        <f>30801+262+50+48</f>
        <v>31161</v>
      </c>
      <c r="H25" s="14">
        <f>32078+290+50+48</f>
        <v>32466</v>
      </c>
      <c r="I25" s="14">
        <v>34174</v>
      </c>
      <c r="J25" s="14">
        <v>35602</v>
      </c>
      <c r="K25" s="14">
        <v>36793</v>
      </c>
      <c r="L25" s="14">
        <v>37501</v>
      </c>
      <c r="M25" s="14">
        <v>38735</v>
      </c>
      <c r="N25" s="14">
        <v>40176</v>
      </c>
      <c r="O25" s="14">
        <v>41522</v>
      </c>
      <c r="P25" s="176">
        <v>43931</v>
      </c>
      <c r="Q25" s="176">
        <f>53339-'COVID spending'!D3</f>
        <v>46759</v>
      </c>
    </row>
    <row r="26" spans="1:19" ht="17" x14ac:dyDescent="0.2">
      <c r="A26" s="4" t="s">
        <v>18</v>
      </c>
      <c r="B26" s="14">
        <f>13045+94</f>
        <v>13139</v>
      </c>
      <c r="C26" s="14">
        <f>13436+90</f>
        <v>13526</v>
      </c>
      <c r="D26" s="14">
        <f>14445+45+82</f>
        <v>14572</v>
      </c>
      <c r="E26" s="14">
        <f>14686+55+68</f>
        <v>14809</v>
      </c>
      <c r="F26" s="14">
        <f>17725+57+87</f>
        <v>17869</v>
      </c>
      <c r="G26" s="14">
        <f>18390+53+135</f>
        <v>18578</v>
      </c>
      <c r="H26" s="14">
        <f>19070+48+152</f>
        <v>19270</v>
      </c>
      <c r="I26" s="14">
        <v>19528</v>
      </c>
      <c r="J26" s="14">
        <v>20620</v>
      </c>
      <c r="K26" s="14">
        <v>20905</v>
      </c>
      <c r="L26" s="14">
        <v>20997</v>
      </c>
      <c r="M26" s="14">
        <v>21646</v>
      </c>
      <c r="N26" s="14">
        <v>22780</v>
      </c>
      <c r="O26" s="14">
        <v>23887</v>
      </c>
      <c r="P26" s="176">
        <v>25473</v>
      </c>
      <c r="Q26" s="177">
        <f>26543-'COVID spending'!D4</f>
        <v>25538</v>
      </c>
      <c r="S26" s="169" t="s">
        <v>326</v>
      </c>
    </row>
    <row r="27" spans="1:19" ht="34" x14ac:dyDescent="0.2">
      <c r="A27" s="4" t="s">
        <v>19</v>
      </c>
      <c r="B27" s="14">
        <f>6781+609+48+88+61+41+268</f>
        <v>7896</v>
      </c>
      <c r="C27" s="14">
        <f>7154+729+46+56+91+41+338</f>
        <v>8455</v>
      </c>
      <c r="D27" s="14">
        <f>8138+667+99+69+56+53+45+44+43+41+241</f>
        <v>9496</v>
      </c>
      <c r="E27" s="14">
        <f>8525+709+124+108+129+51+40+45+65+39+14+238</f>
        <v>10087</v>
      </c>
      <c r="F27" s="14">
        <f>8947+583+105+156+128+54+50+12+75+21+122+224</f>
        <v>10477</v>
      </c>
      <c r="G27" s="14">
        <f>9662+825+114+110+73+61+38+66+82+19+159+165</f>
        <v>11374</v>
      </c>
      <c r="H27" s="14">
        <f>10011+540+85+235+123+61+95+80+199+177</f>
        <v>11606</v>
      </c>
      <c r="I27" s="14">
        <v>11316</v>
      </c>
      <c r="J27" s="14">
        <v>11859</v>
      </c>
      <c r="K27" s="14">
        <v>11458</v>
      </c>
      <c r="L27" s="14">
        <v>11697</v>
      </c>
      <c r="M27" s="14">
        <v>12315</v>
      </c>
      <c r="N27" s="14">
        <v>14438</v>
      </c>
      <c r="O27" s="14">
        <v>14730</v>
      </c>
      <c r="P27" s="176">
        <v>17753</v>
      </c>
      <c r="Q27" s="177">
        <f>18453-'COVID spending'!D5</f>
        <v>14887</v>
      </c>
    </row>
    <row r="28" spans="1:19" ht="17" x14ac:dyDescent="0.2">
      <c r="A28" s="4" t="s">
        <v>20</v>
      </c>
      <c r="B28" s="14">
        <f>5249+2030+177+75+77+82</f>
        <v>7690</v>
      </c>
      <c r="C28" s="14">
        <f>5280+2112+161+8+355+114</f>
        <v>8030</v>
      </c>
      <c r="D28" s="14">
        <f>5439+2132+163+351+81</f>
        <v>8166</v>
      </c>
      <c r="E28" s="14">
        <f>5538+2113+195+365+90</f>
        <v>8301</v>
      </c>
      <c r="F28" s="14">
        <f>5773+2130+271+377+171+53</f>
        <v>8775</v>
      </c>
      <c r="G28" s="14">
        <f>6010+2124+347+380+18+53</f>
        <v>8932</v>
      </c>
      <c r="H28" s="14">
        <f>6159+2144+426+365+52</f>
        <v>9146</v>
      </c>
      <c r="I28" s="14">
        <v>9269</v>
      </c>
      <c r="J28" s="14">
        <v>9543</v>
      </c>
      <c r="K28" s="14">
        <v>9647</v>
      </c>
      <c r="L28" s="14">
        <v>9589</v>
      </c>
      <c r="M28" s="14">
        <v>9562</v>
      </c>
      <c r="N28" s="14">
        <v>9816</v>
      </c>
      <c r="O28" s="14">
        <v>10095</v>
      </c>
      <c r="P28" s="176">
        <v>10916</v>
      </c>
      <c r="Q28" s="177">
        <f>11063-'COVID spending'!D6</f>
        <v>10892</v>
      </c>
    </row>
    <row r="29" spans="1:19" x14ac:dyDescent="0.2">
      <c r="A29" s="184"/>
      <c r="B29" s="181"/>
      <c r="C29" s="181"/>
      <c r="D29" s="181"/>
      <c r="E29" s="181"/>
      <c r="F29" s="181"/>
      <c r="G29" s="181"/>
      <c r="H29" s="181"/>
      <c r="I29" s="181"/>
      <c r="J29" s="181"/>
      <c r="K29" s="181"/>
      <c r="L29" s="181"/>
      <c r="M29" s="181"/>
      <c r="N29" s="181"/>
      <c r="O29" s="181"/>
      <c r="P29" s="182"/>
      <c r="Q29" s="183"/>
    </row>
    <row r="30" spans="1:19" x14ac:dyDescent="0.2">
      <c r="A30" s="184"/>
      <c r="B30" s="181"/>
      <c r="C30" s="181"/>
      <c r="D30" s="181"/>
      <c r="E30" s="181"/>
      <c r="F30" s="181"/>
      <c r="G30" s="181"/>
      <c r="H30" s="181"/>
      <c r="I30" s="181"/>
      <c r="J30" s="181"/>
      <c r="K30" s="181"/>
      <c r="L30" s="181"/>
      <c r="M30" s="181"/>
      <c r="N30" s="181"/>
      <c r="O30" s="181"/>
      <c r="P30" s="182"/>
      <c r="Q30" s="183"/>
      <c r="R30" s="20"/>
    </row>
    <row r="31" spans="1:19" x14ac:dyDescent="0.2">
      <c r="A31" s="184"/>
      <c r="B31" s="181"/>
      <c r="C31" s="181"/>
      <c r="D31" s="181"/>
      <c r="E31" s="181"/>
      <c r="F31" s="181"/>
      <c r="G31" s="181"/>
      <c r="H31" s="181"/>
      <c r="I31" s="181"/>
      <c r="J31" s="181"/>
      <c r="K31" s="181"/>
      <c r="L31" s="181"/>
      <c r="M31" s="181"/>
      <c r="N31" s="181"/>
      <c r="O31" s="181"/>
      <c r="P31" s="182"/>
      <c r="Q31" s="183"/>
    </row>
    <row r="32" spans="1:19" ht="17" x14ac:dyDescent="0.2">
      <c r="A32" s="4" t="s">
        <v>21</v>
      </c>
      <c r="B32" s="11">
        <v>5379</v>
      </c>
      <c r="C32" s="11">
        <v>5657</v>
      </c>
      <c r="D32" s="11">
        <v>5592</v>
      </c>
      <c r="E32" s="11">
        <v>6201</v>
      </c>
      <c r="F32" s="11">
        <v>6611</v>
      </c>
      <c r="G32" s="11">
        <v>6292</v>
      </c>
      <c r="H32" s="11">
        <v>6287</v>
      </c>
      <c r="I32" s="11">
        <v>6386</v>
      </c>
      <c r="J32" s="11">
        <v>6712</v>
      </c>
      <c r="K32" s="11">
        <v>6728</v>
      </c>
      <c r="L32" s="11">
        <v>6686</v>
      </c>
      <c r="M32" s="11">
        <v>6737</v>
      </c>
      <c r="N32" s="11">
        <v>7039</v>
      </c>
      <c r="O32" s="11">
        <v>7510</v>
      </c>
      <c r="P32" s="176">
        <v>9142</v>
      </c>
      <c r="Q32" s="177">
        <f>9723-'COVID spending'!D7</f>
        <v>9125</v>
      </c>
    </row>
    <row r="33" spans="1:17" ht="17" x14ac:dyDescent="0.2">
      <c r="A33" s="4" t="s">
        <v>289</v>
      </c>
      <c r="B33" s="11"/>
      <c r="C33" s="11"/>
      <c r="D33" s="11"/>
      <c r="E33" s="11"/>
      <c r="F33" s="11"/>
      <c r="G33" s="11"/>
      <c r="H33" s="11"/>
      <c r="I33" s="11"/>
      <c r="J33" s="11"/>
      <c r="K33" s="11"/>
      <c r="L33" s="11"/>
      <c r="M33" s="11"/>
      <c r="N33" s="11"/>
      <c r="O33" s="11"/>
      <c r="P33" s="12"/>
      <c r="Q33" s="178">
        <f>'COVID spending'!C9</f>
        <v>11920</v>
      </c>
    </row>
    <row r="34" spans="1:17" ht="34" x14ac:dyDescent="0.2">
      <c r="A34" s="8" t="s">
        <v>22</v>
      </c>
      <c r="B34" s="11">
        <f t="shared" ref="B34:O34" si="4">B32+B28+B27+B26+B25</f>
        <v>56185</v>
      </c>
      <c r="C34" s="11">
        <f t="shared" si="4"/>
        <v>59577</v>
      </c>
      <c r="D34" s="11">
        <f t="shared" si="4"/>
        <v>63432</v>
      </c>
      <c r="E34" s="11">
        <f t="shared" si="4"/>
        <v>66373</v>
      </c>
      <c r="F34" s="11">
        <f t="shared" si="4"/>
        <v>73718</v>
      </c>
      <c r="G34" s="11">
        <f t="shared" si="4"/>
        <v>76337</v>
      </c>
      <c r="H34" s="11">
        <f t="shared" si="4"/>
        <v>78775</v>
      </c>
      <c r="I34" s="11">
        <f t="shared" si="4"/>
        <v>80673</v>
      </c>
      <c r="J34" s="11">
        <f t="shared" si="4"/>
        <v>84336</v>
      </c>
      <c r="K34" s="11">
        <f t="shared" si="4"/>
        <v>85531</v>
      </c>
      <c r="L34" s="11">
        <f t="shared" si="4"/>
        <v>86470</v>
      </c>
      <c r="M34" s="11">
        <f t="shared" si="4"/>
        <v>88995</v>
      </c>
      <c r="N34" s="11">
        <f t="shared" si="4"/>
        <v>94249</v>
      </c>
      <c r="O34" s="11">
        <f t="shared" si="4"/>
        <v>97744</v>
      </c>
      <c r="P34" s="176">
        <f>SUM(P25:P32)</f>
        <v>107215</v>
      </c>
      <c r="Q34" s="176">
        <f>Q25+Q27+Q26+Q28+Q32+Q33</f>
        <v>119121</v>
      </c>
    </row>
    <row r="35" spans="1:17" ht="17" x14ac:dyDescent="0.2">
      <c r="A35" s="4" t="s">
        <v>23</v>
      </c>
      <c r="B35">
        <v>7559</v>
      </c>
      <c r="C35">
        <v>7894</v>
      </c>
      <c r="D35">
        <v>8064</v>
      </c>
      <c r="E35">
        <v>8131</v>
      </c>
      <c r="F35">
        <v>7844</v>
      </c>
      <c r="G35">
        <v>8935</v>
      </c>
      <c r="H35">
        <v>9451</v>
      </c>
      <c r="I35">
        <v>9839</v>
      </c>
      <c r="J35">
        <v>10598</v>
      </c>
      <c r="K35">
        <v>10270</v>
      </c>
      <c r="L35">
        <v>10009</v>
      </c>
      <c r="M35">
        <v>9527</v>
      </c>
      <c r="N35">
        <v>9240</v>
      </c>
      <c r="O35">
        <v>8722</v>
      </c>
      <c r="P35" s="176">
        <v>7676</v>
      </c>
      <c r="Q35" s="177">
        <v>7689</v>
      </c>
    </row>
    <row r="36" spans="1:17" ht="17" x14ac:dyDescent="0.2">
      <c r="A36" s="13" t="s">
        <v>60</v>
      </c>
      <c r="B36" s="169">
        <v>5.3600000000000002E-2</v>
      </c>
      <c r="C36" s="169">
        <v>5.4699999999999999E-2</v>
      </c>
      <c r="D36" s="169">
        <v>5.04E-2</v>
      </c>
      <c r="E36" s="169">
        <v>4.1599999999999998E-2</v>
      </c>
      <c r="F36" s="169">
        <v>3.9E-2</v>
      </c>
      <c r="G36" s="169">
        <v>4.3200000000000002E-2</v>
      </c>
      <c r="H36" s="169">
        <v>4.2200000000000001E-2</v>
      </c>
      <c r="I36" s="169">
        <v>0.04</v>
      </c>
      <c r="J36" s="169">
        <v>3.9100000000000003E-2</v>
      </c>
      <c r="K36" s="169">
        <v>3.73E-2</v>
      </c>
      <c r="L36" s="169">
        <v>3.6299999999999999E-2</v>
      </c>
      <c r="M36" s="169">
        <v>3.5299999999999998E-2</v>
      </c>
      <c r="N36" s="169">
        <v>3.5400000000000001E-2</v>
      </c>
      <c r="O36" s="169">
        <v>3.5799999999999998E-2</v>
      </c>
      <c r="P36" s="185">
        <v>3.3500000000000002E-2</v>
      </c>
      <c r="Q36" s="185"/>
    </row>
    <row r="37" spans="1:17" ht="17" x14ac:dyDescent="0.2">
      <c r="A37" s="8" t="s">
        <v>24</v>
      </c>
      <c r="B37" s="11">
        <f t="shared" ref="B37:O37" si="5">B34+B35</f>
        <v>63744</v>
      </c>
      <c r="C37" s="11">
        <f t="shared" si="5"/>
        <v>67471</v>
      </c>
      <c r="D37" s="11">
        <f t="shared" si="5"/>
        <v>71496</v>
      </c>
      <c r="E37" s="11">
        <f t="shared" si="5"/>
        <v>74504</v>
      </c>
      <c r="F37" s="11">
        <f t="shared" si="5"/>
        <v>81562</v>
      </c>
      <c r="G37" s="11">
        <f t="shared" si="5"/>
        <v>85272</v>
      </c>
      <c r="H37" s="11">
        <f t="shared" si="5"/>
        <v>88226</v>
      </c>
      <c r="I37" s="11">
        <f t="shared" si="5"/>
        <v>90512</v>
      </c>
      <c r="J37" s="11">
        <f t="shared" si="5"/>
        <v>94934</v>
      </c>
      <c r="K37" s="11">
        <f t="shared" si="5"/>
        <v>95801</v>
      </c>
      <c r="L37" s="11">
        <f t="shared" si="5"/>
        <v>96479</v>
      </c>
      <c r="M37" s="11">
        <f t="shared" si="5"/>
        <v>98522</v>
      </c>
      <c r="N37" s="11">
        <f t="shared" si="5"/>
        <v>103489</v>
      </c>
      <c r="O37" s="11">
        <f t="shared" si="5"/>
        <v>106466</v>
      </c>
      <c r="P37" s="176">
        <v>114891</v>
      </c>
      <c r="Q37" s="176">
        <v>126810</v>
      </c>
    </row>
    <row r="38" spans="1:17" ht="17" x14ac:dyDescent="0.2">
      <c r="A38" s="8" t="s">
        <v>25</v>
      </c>
      <c r="B38">
        <f t="shared" ref="B38:O38" si="6">B23-B37</f>
        <v>37</v>
      </c>
      <c r="C38" s="11">
        <f t="shared" si="6"/>
        <v>1993</v>
      </c>
      <c r="D38" s="11">
        <f t="shared" si="6"/>
        <v>1650</v>
      </c>
      <c r="E38" s="11">
        <f t="shared" si="6"/>
        <v>-1258</v>
      </c>
      <c r="F38" s="11">
        <f t="shared" si="6"/>
        <v>-2940</v>
      </c>
      <c r="G38" s="11">
        <f t="shared" si="6"/>
        <v>-2390</v>
      </c>
      <c r="H38" s="11">
        <f t="shared" si="6"/>
        <v>-1788</v>
      </c>
      <c r="I38" s="11">
        <f t="shared" si="6"/>
        <v>-2515</v>
      </c>
      <c r="J38" s="11">
        <f t="shared" si="6"/>
        <v>-1703</v>
      </c>
      <c r="K38" s="11">
        <f t="shared" si="6"/>
        <v>136</v>
      </c>
      <c r="L38" s="11">
        <f t="shared" si="6"/>
        <v>3644</v>
      </c>
      <c r="M38" s="11">
        <f t="shared" si="6"/>
        <v>4362</v>
      </c>
      <c r="N38" s="11">
        <f t="shared" si="6"/>
        <v>4915</v>
      </c>
      <c r="O38" s="11">
        <f t="shared" si="6"/>
        <v>8280</v>
      </c>
      <c r="P38" s="176">
        <v>2083</v>
      </c>
      <c r="Q38" s="176">
        <f>Q23-Q37</f>
        <v>-4226</v>
      </c>
    </row>
    <row r="39" spans="1:17" ht="17" x14ac:dyDescent="0.2">
      <c r="A39" s="8" t="s">
        <v>29</v>
      </c>
      <c r="G39" s="27"/>
      <c r="H39" s="27"/>
      <c r="I39" s="27"/>
      <c r="J39" s="27"/>
      <c r="K39" s="35"/>
      <c r="L39" s="35"/>
      <c r="M39" s="35"/>
      <c r="N39" s="35"/>
      <c r="O39" s="35"/>
      <c r="P39" s="35"/>
    </row>
    <row r="40" spans="1:17" ht="17" x14ac:dyDescent="0.2">
      <c r="A40" s="4" t="s">
        <v>30</v>
      </c>
      <c r="B40">
        <v>0</v>
      </c>
      <c r="C40">
        <v>0</v>
      </c>
      <c r="D40">
        <v>584</v>
      </c>
      <c r="E40">
        <v>1233</v>
      </c>
      <c r="F40">
        <v>1952</v>
      </c>
      <c r="G40">
        <v>2677</v>
      </c>
      <c r="H40">
        <v>3437</v>
      </c>
      <c r="I40">
        <v>4277</v>
      </c>
      <c r="J40">
        <v>5238</v>
      </c>
      <c r="K40">
        <v>5659</v>
      </c>
      <c r="L40">
        <v>6938</v>
      </c>
      <c r="M40">
        <v>8522</v>
      </c>
      <c r="N40">
        <v>10523</v>
      </c>
      <c r="O40">
        <v>12816</v>
      </c>
      <c r="P40" s="34">
        <v>8293</v>
      </c>
      <c r="Q40" s="20">
        <f>P49</f>
        <v>8899</v>
      </c>
    </row>
    <row r="41" spans="1:17" ht="17" x14ac:dyDescent="0.2">
      <c r="A41" s="3" t="s">
        <v>10</v>
      </c>
    </row>
    <row r="42" spans="1:17" ht="17" x14ac:dyDescent="0.2">
      <c r="A42" s="2" t="s">
        <v>31</v>
      </c>
      <c r="C42">
        <f>584-C43</f>
        <v>581</v>
      </c>
      <c r="D42">
        <f>449-D43</f>
        <v>413</v>
      </c>
      <c r="E42">
        <f>587-E43</f>
        <v>637</v>
      </c>
      <c r="F42">
        <f>725-F43</f>
        <v>665</v>
      </c>
      <c r="G42">
        <f>760-G43</f>
        <v>666</v>
      </c>
      <c r="H42">
        <f>840-H43</f>
        <v>691</v>
      </c>
      <c r="I42">
        <f>961-I43</f>
        <v>729</v>
      </c>
      <c r="J42">
        <f>1121-J43</f>
        <v>782</v>
      </c>
      <c r="K42">
        <f>1279-K43</f>
        <v>964</v>
      </c>
      <c r="L42">
        <f>1453-L43</f>
        <v>1155</v>
      </c>
      <c r="M42">
        <f>2001-M43</f>
        <v>1579</v>
      </c>
      <c r="N42">
        <f>2293-412</f>
        <v>1881</v>
      </c>
      <c r="O42">
        <f>3477-1394</f>
        <v>2083</v>
      </c>
      <c r="P42" s="14">
        <f>2606-464</f>
        <v>2142</v>
      </c>
      <c r="Q42">
        <f>3014-Q43</f>
        <v>2325</v>
      </c>
    </row>
    <row r="43" spans="1:17" ht="17" x14ac:dyDescent="0.2">
      <c r="A43" s="2" t="s">
        <v>32</v>
      </c>
      <c r="C43">
        <f>2+1</f>
        <v>3</v>
      </c>
      <c r="D43">
        <v>36</v>
      </c>
      <c r="E43">
        <v>-50</v>
      </c>
      <c r="F43">
        <v>60</v>
      </c>
      <c r="G43">
        <v>94</v>
      </c>
      <c r="H43">
        <v>149</v>
      </c>
      <c r="I43">
        <v>232</v>
      </c>
      <c r="J43">
        <v>339</v>
      </c>
      <c r="K43">
        <v>315</v>
      </c>
      <c r="L43">
        <v>298</v>
      </c>
      <c r="M43">
        <v>422</v>
      </c>
      <c r="N43">
        <v>412</v>
      </c>
      <c r="O43">
        <v>1394</v>
      </c>
      <c r="P43" s="14">
        <v>464</v>
      </c>
      <c r="Q43">
        <v>689</v>
      </c>
    </row>
    <row r="44" spans="1:17" ht="17" x14ac:dyDescent="0.2">
      <c r="A44" s="2" t="s">
        <v>33</v>
      </c>
      <c r="B44" s="11">
        <v>0</v>
      </c>
      <c r="C44" s="11">
        <v>0</v>
      </c>
      <c r="D44" s="11">
        <f t="shared" ref="D44:N44" si="7">D43/D40</f>
        <v>6.1643835616438353E-2</v>
      </c>
      <c r="E44" s="11">
        <f t="shared" si="7"/>
        <v>-4.0551500405515001E-2</v>
      </c>
      <c r="F44" s="11">
        <f t="shared" si="7"/>
        <v>3.0737704918032786E-2</v>
      </c>
      <c r="G44" s="11">
        <f t="shared" si="7"/>
        <v>3.5113933507657825E-2</v>
      </c>
      <c r="H44" s="11">
        <f t="shared" si="7"/>
        <v>4.3351760256037243E-2</v>
      </c>
      <c r="I44" s="11">
        <f t="shared" si="7"/>
        <v>5.4243628711713815E-2</v>
      </c>
      <c r="J44" s="11">
        <f t="shared" si="7"/>
        <v>6.4719358533791529E-2</v>
      </c>
      <c r="K44" s="11">
        <f>K43/K40</f>
        <v>5.5663544795900334E-2</v>
      </c>
      <c r="L44" s="11">
        <f t="shared" si="7"/>
        <v>4.295185932545402E-2</v>
      </c>
      <c r="M44" s="11">
        <f>M43/M40</f>
        <v>4.9518892278807791E-2</v>
      </c>
      <c r="N44" s="11">
        <f t="shared" si="7"/>
        <v>3.9152332984890244E-2</v>
      </c>
      <c r="O44" s="11">
        <f>O43/O40</f>
        <v>0.10877028714107366</v>
      </c>
      <c r="P44" s="11">
        <f>P43/P40</f>
        <v>5.5950801881104545E-2</v>
      </c>
      <c r="Q44" s="11">
        <f>Q43/Q40</f>
        <v>7.7424429711203502E-2</v>
      </c>
    </row>
    <row r="45" spans="1:17" ht="17" x14ac:dyDescent="0.2">
      <c r="A45" s="6" t="s">
        <v>8</v>
      </c>
      <c r="B45" s="11">
        <f>B43+B42</f>
        <v>0</v>
      </c>
      <c r="C45" s="11">
        <f t="shared" ref="C45:N45" si="8">C43+C42</f>
        <v>584</v>
      </c>
      <c r="D45" s="11">
        <f t="shared" si="8"/>
        <v>449</v>
      </c>
      <c r="E45" s="11">
        <f t="shared" si="8"/>
        <v>587</v>
      </c>
      <c r="F45" s="11">
        <f t="shared" si="8"/>
        <v>725</v>
      </c>
      <c r="G45" s="11">
        <f t="shared" si="8"/>
        <v>760</v>
      </c>
      <c r="H45" s="11">
        <f t="shared" si="8"/>
        <v>840</v>
      </c>
      <c r="I45" s="11">
        <f t="shared" si="8"/>
        <v>961</v>
      </c>
      <c r="J45" s="11">
        <f t="shared" si="8"/>
        <v>1121</v>
      </c>
      <c r="K45" s="11">
        <f t="shared" si="8"/>
        <v>1279</v>
      </c>
      <c r="L45" s="11">
        <f>L43+L42</f>
        <v>1453</v>
      </c>
      <c r="M45" s="11">
        <f t="shared" si="8"/>
        <v>2001</v>
      </c>
      <c r="N45" s="11">
        <f t="shared" si="8"/>
        <v>2293</v>
      </c>
      <c r="O45" s="11">
        <f>O43+O42</f>
        <v>3477</v>
      </c>
      <c r="P45" s="11">
        <f>P42+P43</f>
        <v>2606</v>
      </c>
      <c r="Q45" s="11">
        <f>Q42+Q43</f>
        <v>3014</v>
      </c>
    </row>
    <row r="46" spans="1:17" ht="17" x14ac:dyDescent="0.2">
      <c r="A46" s="4" t="s">
        <v>34</v>
      </c>
      <c r="B46">
        <f>B40+B45</f>
        <v>0</v>
      </c>
      <c r="C46" s="11">
        <f t="shared" ref="C46:M46" si="9">C40+C45</f>
        <v>584</v>
      </c>
      <c r="D46" s="11">
        <f t="shared" si="9"/>
        <v>1033</v>
      </c>
      <c r="E46" s="11">
        <f t="shared" si="9"/>
        <v>1820</v>
      </c>
      <c r="F46" s="11">
        <f t="shared" si="9"/>
        <v>2677</v>
      </c>
      <c r="G46" s="11">
        <f t="shared" si="9"/>
        <v>3437</v>
      </c>
      <c r="H46" s="11">
        <f t="shared" si="9"/>
        <v>4277</v>
      </c>
      <c r="I46" s="11">
        <f>I40+I45</f>
        <v>5238</v>
      </c>
      <c r="J46" s="11">
        <f t="shared" si="9"/>
        <v>6359</v>
      </c>
      <c r="K46" s="11">
        <f t="shared" si="9"/>
        <v>6938</v>
      </c>
      <c r="L46" s="11">
        <f>L40+L45</f>
        <v>8391</v>
      </c>
      <c r="M46" s="11">
        <f t="shared" si="9"/>
        <v>10523</v>
      </c>
      <c r="N46" s="11">
        <f>N40+N45</f>
        <v>12816</v>
      </c>
      <c r="O46" s="11">
        <f>O40+O45</f>
        <v>16293</v>
      </c>
      <c r="P46" s="45">
        <f>P40+P45</f>
        <v>10899</v>
      </c>
      <c r="Q46" s="12">
        <f>Q40+Q45</f>
        <v>11913</v>
      </c>
    </row>
    <row r="47" spans="1:17" ht="34" x14ac:dyDescent="0.2">
      <c r="A47" s="2" t="s">
        <v>206</v>
      </c>
      <c r="J47">
        <v>1000</v>
      </c>
      <c r="K47">
        <v>0</v>
      </c>
      <c r="L47">
        <v>0</v>
      </c>
      <c r="M47">
        <v>0</v>
      </c>
      <c r="N47">
        <v>0</v>
      </c>
      <c r="O47">
        <v>8000</v>
      </c>
      <c r="P47" s="14">
        <v>2000</v>
      </c>
      <c r="Q47" s="36">
        <v>0</v>
      </c>
    </row>
    <row r="48" spans="1:17" ht="51" x14ac:dyDescent="0.2">
      <c r="A48" s="2" t="s">
        <v>59</v>
      </c>
      <c r="D48">
        <v>200</v>
      </c>
      <c r="E48">
        <v>132</v>
      </c>
      <c r="J48">
        <v>300</v>
      </c>
      <c r="L48">
        <v>131</v>
      </c>
      <c r="P48" s="36"/>
    </row>
    <row r="49" spans="1:18" ht="17" x14ac:dyDescent="0.2">
      <c r="A49" s="6" t="s">
        <v>35</v>
      </c>
      <c r="B49" s="11">
        <f>B46-B47</f>
        <v>0</v>
      </c>
      <c r="C49" s="11">
        <f t="shared" ref="C49:N49" si="10">C46-C47</f>
        <v>584</v>
      </c>
      <c r="D49" s="11">
        <f>D46-D47+D48</f>
        <v>1233</v>
      </c>
      <c r="E49" s="11">
        <f>E46-E47+E48</f>
        <v>1952</v>
      </c>
      <c r="F49" s="11">
        <f>F46-F47</f>
        <v>2677</v>
      </c>
      <c r="G49" s="11">
        <f t="shared" si="10"/>
        <v>3437</v>
      </c>
      <c r="H49" s="11">
        <f t="shared" si="10"/>
        <v>4277</v>
      </c>
      <c r="I49" s="11">
        <f t="shared" si="10"/>
        <v>5238</v>
      </c>
      <c r="J49" s="11">
        <f>J46-J47+J48</f>
        <v>5659</v>
      </c>
      <c r="K49" s="11">
        <f t="shared" si="10"/>
        <v>6938</v>
      </c>
      <c r="L49" s="11">
        <f>L46-L47+L48</f>
        <v>8522</v>
      </c>
      <c r="M49" s="11">
        <f t="shared" si="10"/>
        <v>10523</v>
      </c>
      <c r="N49" s="11">
        <f t="shared" si="10"/>
        <v>12816</v>
      </c>
      <c r="O49" s="11">
        <f>O46-O47</f>
        <v>8293</v>
      </c>
      <c r="P49" s="45">
        <f>P46-P47</f>
        <v>8899</v>
      </c>
      <c r="Q49" s="12">
        <f>Q46-Q47</f>
        <v>11913</v>
      </c>
    </row>
    <row r="50" spans="1:18" ht="17" x14ac:dyDescent="0.2">
      <c r="A50" s="7" t="s">
        <v>40</v>
      </c>
    </row>
    <row r="51" spans="1:18" ht="17" x14ac:dyDescent="0.2">
      <c r="A51" s="1" t="s">
        <v>36</v>
      </c>
      <c r="E51">
        <v>2301</v>
      </c>
      <c r="F51">
        <v>433</v>
      </c>
      <c r="K51">
        <v>0</v>
      </c>
      <c r="L51">
        <v>0</v>
      </c>
      <c r="M51">
        <v>2191</v>
      </c>
      <c r="N51">
        <v>4552</v>
      </c>
      <c r="O51">
        <v>7174</v>
      </c>
      <c r="P51" s="34">
        <v>11977</v>
      </c>
      <c r="Q51">
        <v>11981</v>
      </c>
    </row>
    <row r="52" spans="1:18" ht="17" x14ac:dyDescent="0.2">
      <c r="A52" s="2" t="s">
        <v>37</v>
      </c>
      <c r="B52" s="14"/>
      <c r="C52" s="14"/>
      <c r="D52" s="14"/>
      <c r="E52" s="11">
        <f>1845</f>
        <v>1845</v>
      </c>
      <c r="F52" s="11">
        <v>433</v>
      </c>
      <c r="G52" s="11">
        <f t="shared" ref="G52:N52" si="11">IF(G38&lt;0,MAX(G38-G51,0),0)</f>
        <v>0</v>
      </c>
      <c r="H52" s="11">
        <f t="shared" si="11"/>
        <v>0</v>
      </c>
      <c r="I52" s="11">
        <f t="shared" si="11"/>
        <v>0</v>
      </c>
      <c r="J52" s="11">
        <f t="shared" si="11"/>
        <v>0</v>
      </c>
      <c r="K52" s="11">
        <f t="shared" si="11"/>
        <v>0</v>
      </c>
      <c r="L52" s="11">
        <f t="shared" si="11"/>
        <v>0</v>
      </c>
      <c r="M52" s="11">
        <f t="shared" si="11"/>
        <v>0</v>
      </c>
      <c r="N52" s="11">
        <f t="shared" si="11"/>
        <v>0</v>
      </c>
      <c r="O52" s="11">
        <f>IF(O38&lt;0,MAX(O38-O51,0),0)</f>
        <v>0</v>
      </c>
      <c r="P52" s="11">
        <f>IF(P38&lt;0,MAX(P38-P51,0),0)</f>
        <v>0</v>
      </c>
      <c r="Q52" s="11">
        <v>8760</v>
      </c>
    </row>
    <row r="53" spans="1:18" ht="17" x14ac:dyDescent="0.2">
      <c r="A53" s="6" t="s">
        <v>39</v>
      </c>
      <c r="B53" s="14"/>
      <c r="C53" s="14"/>
      <c r="D53" s="14"/>
      <c r="E53" s="11">
        <f>E38-E45+E52</f>
        <v>0</v>
      </c>
      <c r="F53" s="11">
        <f>F38-F45+F52+58</f>
        <v>-3174</v>
      </c>
      <c r="G53" s="11">
        <f t="shared" ref="G53:N53" si="12">G38-G45-G52</f>
        <v>-3150</v>
      </c>
      <c r="H53" s="11">
        <f t="shared" si="12"/>
        <v>-2628</v>
      </c>
      <c r="I53" s="11">
        <f>I38-I45-I52+1876</f>
        <v>-1600</v>
      </c>
      <c r="J53" s="11">
        <f t="shared" si="12"/>
        <v>-2824</v>
      </c>
      <c r="K53" s="11">
        <f t="shared" si="12"/>
        <v>-1143</v>
      </c>
      <c r="L53" s="11">
        <f>L38-L45-L52</f>
        <v>2191</v>
      </c>
      <c r="M53" s="11">
        <f>M38-M45-M52</f>
        <v>2361</v>
      </c>
      <c r="N53" s="11">
        <f t="shared" si="12"/>
        <v>2622</v>
      </c>
      <c r="O53" s="11">
        <f>O38-O45+O52</f>
        <v>4803</v>
      </c>
      <c r="P53" s="12">
        <f>P38-P45+P52</f>
        <v>-523</v>
      </c>
      <c r="Q53" s="12">
        <f>Q38-Q45+Q52</f>
        <v>1520</v>
      </c>
    </row>
    <row r="54" spans="1:18" ht="51" x14ac:dyDescent="0.2">
      <c r="A54" s="6" t="s">
        <v>323</v>
      </c>
      <c r="B54" s="14"/>
      <c r="C54" s="14"/>
      <c r="D54" s="14"/>
      <c r="E54" s="11">
        <f>E38-E45</f>
        <v>-1845</v>
      </c>
      <c r="F54" s="11">
        <f t="shared" ref="F54:Q54" si="13">F38-F45</f>
        <v>-3665</v>
      </c>
      <c r="G54" s="11">
        <f t="shared" si="13"/>
        <v>-3150</v>
      </c>
      <c r="H54" s="11">
        <f t="shared" si="13"/>
        <v>-2628</v>
      </c>
      <c r="I54" s="11">
        <f t="shared" si="13"/>
        <v>-3476</v>
      </c>
      <c r="J54" s="11">
        <f t="shared" si="13"/>
        <v>-2824</v>
      </c>
      <c r="K54" s="11">
        <f t="shared" si="13"/>
        <v>-1143</v>
      </c>
      <c r="L54" s="11">
        <f t="shared" si="13"/>
        <v>2191</v>
      </c>
      <c r="M54" s="11">
        <f t="shared" si="13"/>
        <v>2361</v>
      </c>
      <c r="N54" s="11">
        <f t="shared" si="13"/>
        <v>2622</v>
      </c>
      <c r="O54" s="11">
        <f t="shared" si="13"/>
        <v>4803</v>
      </c>
      <c r="P54" s="11">
        <f t="shared" si="13"/>
        <v>-523</v>
      </c>
      <c r="Q54" s="11">
        <f t="shared" si="13"/>
        <v>-7240</v>
      </c>
    </row>
    <row r="55" spans="1:18" ht="17" x14ac:dyDescent="0.2">
      <c r="A55" s="10" t="s">
        <v>49</v>
      </c>
      <c r="B55" s="14"/>
      <c r="C55" s="14"/>
      <c r="D55" s="14"/>
      <c r="E55" s="16">
        <f>109-132</f>
        <v>-23</v>
      </c>
      <c r="F55" s="11">
        <f t="shared" ref="F55:M55" si="14">IF(F53&gt;0,F53,0)</f>
        <v>0</v>
      </c>
      <c r="G55" s="11">
        <f t="shared" si="14"/>
        <v>0</v>
      </c>
      <c r="H55" s="11">
        <f t="shared" si="14"/>
        <v>0</v>
      </c>
      <c r="I55" s="11">
        <f t="shared" si="14"/>
        <v>0</v>
      </c>
      <c r="J55" s="11">
        <f t="shared" si="14"/>
        <v>0</v>
      </c>
      <c r="K55" s="11">
        <f t="shared" si="14"/>
        <v>0</v>
      </c>
      <c r="L55" s="11">
        <f t="shared" si="14"/>
        <v>2191</v>
      </c>
      <c r="M55" s="11">
        <f t="shared" si="14"/>
        <v>2361</v>
      </c>
      <c r="N55" s="11">
        <f>IF(N53&gt;0,N53,0)</f>
        <v>2622</v>
      </c>
      <c r="O55" s="11">
        <f>IF(O53&gt;0,O53,0)</f>
        <v>4803</v>
      </c>
      <c r="P55" s="11">
        <f>IF(P53&gt;0,P53,0)</f>
        <v>0</v>
      </c>
      <c r="Q55" s="11">
        <v>11</v>
      </c>
    </row>
    <row r="56" spans="1:18" ht="17" x14ac:dyDescent="0.2">
      <c r="A56" s="6" t="s">
        <v>38</v>
      </c>
      <c r="B56" s="17">
        <v>950</v>
      </c>
      <c r="C56" s="17">
        <v>1300</v>
      </c>
      <c r="D56" s="17">
        <v>1817</v>
      </c>
      <c r="E56" s="11">
        <f>E51-E52+E55</f>
        <v>433</v>
      </c>
      <c r="F56" s="11">
        <f t="shared" ref="F56:N56" si="15">F51-F52+F55</f>
        <v>0</v>
      </c>
      <c r="G56" s="11">
        <f t="shared" si="15"/>
        <v>0</v>
      </c>
      <c r="H56" s="11">
        <f t="shared" si="15"/>
        <v>0</v>
      </c>
      <c r="I56" s="11">
        <f t="shared" si="15"/>
        <v>0</v>
      </c>
      <c r="J56" s="11">
        <f t="shared" si="15"/>
        <v>0</v>
      </c>
      <c r="K56" s="11">
        <f t="shared" si="15"/>
        <v>0</v>
      </c>
      <c r="L56" s="11">
        <f t="shared" si="15"/>
        <v>2191</v>
      </c>
      <c r="M56" s="11">
        <f t="shared" si="15"/>
        <v>4552</v>
      </c>
      <c r="N56" s="11">
        <f t="shared" si="15"/>
        <v>7174</v>
      </c>
      <c r="O56" s="11">
        <f>O51-O52+O55</f>
        <v>11977</v>
      </c>
      <c r="P56" s="12">
        <f>P51-P52+P55</f>
        <v>11977</v>
      </c>
      <c r="Q56" s="11">
        <f>Q51-Q52+Q55</f>
        <v>3232</v>
      </c>
    </row>
    <row r="57" spans="1:18" ht="17" x14ac:dyDescent="0.2">
      <c r="A57" s="8" t="s">
        <v>51</v>
      </c>
      <c r="B57" s="14"/>
      <c r="C57" s="14"/>
      <c r="D57" s="14"/>
      <c r="E57" s="14"/>
      <c r="F57" s="14"/>
      <c r="G57" s="14"/>
      <c r="H57" s="14"/>
      <c r="I57" s="14"/>
      <c r="J57" s="14"/>
      <c r="K57" s="14"/>
      <c r="L57" s="14"/>
      <c r="M57" s="14"/>
      <c r="N57" s="14"/>
      <c r="O57" s="14"/>
      <c r="Q57" s="20"/>
    </row>
    <row r="58" spans="1:18" ht="17" x14ac:dyDescent="0.2">
      <c r="A58" s="4" t="s">
        <v>56</v>
      </c>
      <c r="B58" s="14">
        <v>89508</v>
      </c>
      <c r="C58" s="14">
        <v>92011</v>
      </c>
      <c r="D58" s="14">
        <v>116537</v>
      </c>
      <c r="E58" s="14">
        <v>120527</v>
      </c>
      <c r="F58" s="14">
        <v>133224</v>
      </c>
      <c r="G58" s="14">
        <v>141054</v>
      </c>
      <c r="H58" s="14">
        <v>153629</v>
      </c>
      <c r="I58" s="14">
        <v>164686</v>
      </c>
      <c r="J58" s="14">
        <v>173576</v>
      </c>
      <c r="K58" s="14">
        <v>181032</v>
      </c>
      <c r="L58" s="14">
        <v>192750</v>
      </c>
      <c r="M58" s="14">
        <v>193945</v>
      </c>
      <c r="N58" s="14">
        <v>197556</v>
      </c>
      <c r="O58" s="14">
        <v>201949</v>
      </c>
      <c r="P58" s="14">
        <f>O64</f>
        <v>195188</v>
      </c>
      <c r="Q58" s="20">
        <f>P64</f>
        <v>200963</v>
      </c>
    </row>
    <row r="59" spans="1:18" ht="17" x14ac:dyDescent="0.2">
      <c r="A59" s="10" t="s">
        <v>57</v>
      </c>
      <c r="B59" s="11">
        <f t="shared" ref="B59:M59" si="16">B61-B58+B60</f>
        <v>6492</v>
      </c>
      <c r="C59" s="11">
        <f t="shared" si="16"/>
        <v>27068</v>
      </c>
      <c r="D59" s="11">
        <f t="shared" si="16"/>
        <v>8631</v>
      </c>
      <c r="E59" s="11">
        <f t="shared" si="16"/>
        <v>17671</v>
      </c>
      <c r="F59" s="11">
        <f t="shared" si="16"/>
        <v>13424</v>
      </c>
      <c r="G59" s="11">
        <f t="shared" si="16"/>
        <v>18482</v>
      </c>
      <c r="H59" s="11">
        <f t="shared" si="16"/>
        <v>14824</v>
      </c>
      <c r="I59" s="11">
        <f>I61-I58+I60</f>
        <v>16351</v>
      </c>
      <c r="J59" s="11">
        <f t="shared" si="16"/>
        <v>19284</v>
      </c>
      <c r="K59" s="11">
        <f>K61-K58+K60</f>
        <v>23894</v>
      </c>
      <c r="L59" s="11">
        <f t="shared" si="16"/>
        <v>16820</v>
      </c>
      <c r="M59" s="11">
        <f t="shared" si="16"/>
        <v>21277</v>
      </c>
      <c r="N59" s="11">
        <f>N61-N58+N60</f>
        <v>24662</v>
      </c>
      <c r="O59" s="11">
        <f>O61-O58+O60</f>
        <v>22971</v>
      </c>
      <c r="P59" s="12">
        <f>P61-P58+P60</f>
        <v>32567</v>
      </c>
      <c r="Q59" s="12">
        <f>Q61-Q58+Q60</f>
        <v>49225.616666666669</v>
      </c>
    </row>
    <row r="60" spans="1:18" ht="45" customHeight="1" x14ac:dyDescent="0.2">
      <c r="A60" s="9" t="s">
        <v>50</v>
      </c>
      <c r="B60" s="11">
        <f t="shared" ref="B60:N60" si="17">B47</f>
        <v>0</v>
      </c>
      <c r="C60" s="11">
        <f t="shared" si="17"/>
        <v>0</v>
      </c>
      <c r="D60" s="11">
        <f t="shared" si="17"/>
        <v>0</v>
      </c>
      <c r="E60" s="11">
        <f t="shared" si="17"/>
        <v>0</v>
      </c>
      <c r="F60" s="11">
        <f t="shared" si="17"/>
        <v>0</v>
      </c>
      <c r="G60" s="11">
        <f t="shared" si="17"/>
        <v>0</v>
      </c>
      <c r="H60" s="11">
        <f t="shared" si="17"/>
        <v>0</v>
      </c>
      <c r="I60" s="11">
        <f t="shared" si="17"/>
        <v>0</v>
      </c>
      <c r="J60" s="11">
        <f t="shared" si="17"/>
        <v>1000</v>
      </c>
      <c r="K60" s="11">
        <f>K47</f>
        <v>0</v>
      </c>
      <c r="L60" s="11">
        <f t="shared" si="17"/>
        <v>0</v>
      </c>
      <c r="M60" s="11">
        <f t="shared" si="17"/>
        <v>0</v>
      </c>
      <c r="N60" s="11">
        <f t="shared" si="17"/>
        <v>0</v>
      </c>
      <c r="O60" s="11">
        <f>O47</f>
        <v>8000</v>
      </c>
      <c r="P60" s="11">
        <f>P47</f>
        <v>2000</v>
      </c>
      <c r="Q60" s="143">
        <v>0</v>
      </c>
    </row>
    <row r="61" spans="1:18" ht="34" x14ac:dyDescent="0.2">
      <c r="A61" s="9" t="s">
        <v>52</v>
      </c>
      <c r="B61" s="14">
        <f>85700+1853+2849-22+5622-2</f>
        <v>96000</v>
      </c>
      <c r="C61" s="14">
        <f>109676+1075+2082+3144+3104-2</f>
        <v>119079</v>
      </c>
      <c r="D61" s="14">
        <f>113780+2081+2341+3450+3518-2</f>
        <v>125168</v>
      </c>
      <c r="E61" s="14">
        <f>126600+2413+2350+3639+3197-1</f>
        <v>138198</v>
      </c>
      <c r="F61" s="14">
        <v>146648</v>
      </c>
      <c r="G61" s="14">
        <v>159536</v>
      </c>
      <c r="H61" s="14">
        <v>168453</v>
      </c>
      <c r="I61" s="14">
        <v>181037</v>
      </c>
      <c r="J61" s="14">
        <v>191860</v>
      </c>
      <c r="K61" s="14">
        <v>204926</v>
      </c>
      <c r="L61" s="14">
        <v>209570</v>
      </c>
      <c r="M61" s="15">
        <v>215222</v>
      </c>
      <c r="N61" s="14">
        <v>222218</v>
      </c>
      <c r="O61" s="14">
        <v>216920</v>
      </c>
      <c r="P61" s="34">
        <v>225755</v>
      </c>
      <c r="Q61" s="34">
        <f>Q64-Q63+Q62</f>
        <v>250188.61666666667</v>
      </c>
    </row>
    <row r="62" spans="1:18" ht="34" x14ac:dyDescent="0.2">
      <c r="A62" s="10" t="s">
        <v>53</v>
      </c>
      <c r="B62" s="14">
        <v>3989</v>
      </c>
      <c r="C62" s="14">
        <v>4394</v>
      </c>
      <c r="D62" s="14">
        <v>4641</v>
      </c>
      <c r="E62" s="14">
        <v>4974</v>
      </c>
      <c r="F62" s="14">
        <v>5594</v>
      </c>
      <c r="G62" s="14">
        <v>5907</v>
      </c>
      <c r="H62" s="14">
        <v>6408</v>
      </c>
      <c r="I62" s="14">
        <v>10683</v>
      </c>
      <c r="J62" s="14">
        <v>14737</v>
      </c>
      <c r="K62" s="14">
        <v>15980</v>
      </c>
      <c r="L62" s="14">
        <v>19852</v>
      </c>
      <c r="M62" s="14">
        <v>22019</v>
      </c>
      <c r="N62" s="14">
        <v>24428</v>
      </c>
      <c r="O62" s="14">
        <v>25831</v>
      </c>
      <c r="P62" s="34">
        <v>29019</v>
      </c>
      <c r="Q62" s="146" cm="1">
        <f t="array" ref="Q62:R62">LINEST(H62:P62,H1:P1,H62,FALSE)+P62</f>
        <v>31707.483333333334</v>
      </c>
      <c r="R62">
        <v>-5372190.3999999994</v>
      </c>
    </row>
    <row r="63" spans="1:18" ht="17" x14ac:dyDescent="0.2">
      <c r="A63" s="10" t="s">
        <v>54</v>
      </c>
      <c r="B63" s="14"/>
      <c r="C63" s="14"/>
      <c r="D63" s="14"/>
      <c r="E63" s="14"/>
      <c r="F63" s="14"/>
      <c r="G63" s="14"/>
      <c r="H63" s="14">
        <v>2641</v>
      </c>
      <c r="I63" s="14">
        <v>3226</v>
      </c>
      <c r="J63" s="14">
        <v>3909</v>
      </c>
      <c r="K63" s="14">
        <v>3804</v>
      </c>
      <c r="L63" s="14">
        <v>4227</v>
      </c>
      <c r="M63" s="14">
        <v>4353</v>
      </c>
      <c r="N63" s="14">
        <v>4159</v>
      </c>
      <c r="O63" s="14">
        <v>4099</v>
      </c>
      <c r="P63" s="34">
        <v>4227</v>
      </c>
      <c r="Q63" s="146" cm="1">
        <f t="array" ref="Q63:R63">LINEST(H63:P63,H1:P1,H63,FALSE)+P63</f>
        <v>4393.8666666666668</v>
      </c>
      <c r="R63">
        <v>-328326.75555555546</v>
      </c>
    </row>
    <row r="64" spans="1:18" ht="17" x14ac:dyDescent="0.2">
      <c r="A64" s="1" t="s">
        <v>55</v>
      </c>
      <c r="B64" s="11">
        <f t="shared" ref="B64:N64" si="18">B61-B62+B63</f>
        <v>92011</v>
      </c>
      <c r="C64" s="11">
        <f>C61-C62+C63</f>
        <v>114685</v>
      </c>
      <c r="D64" s="11">
        <f t="shared" si="18"/>
        <v>120527</v>
      </c>
      <c r="E64" s="11">
        <f t="shared" si="18"/>
        <v>133224</v>
      </c>
      <c r="F64" s="11">
        <f t="shared" si="18"/>
        <v>141054</v>
      </c>
      <c r="G64" s="11">
        <f t="shared" si="18"/>
        <v>153629</v>
      </c>
      <c r="H64" s="11">
        <f t="shared" si="18"/>
        <v>164686</v>
      </c>
      <c r="I64" s="11">
        <f t="shared" si="18"/>
        <v>173580</v>
      </c>
      <c r="J64" s="11">
        <f t="shared" si="18"/>
        <v>181032</v>
      </c>
      <c r="K64" s="11">
        <f t="shared" si="18"/>
        <v>192750</v>
      </c>
      <c r="L64" s="11">
        <f t="shared" si="18"/>
        <v>193945</v>
      </c>
      <c r="M64" s="11">
        <f t="shared" si="18"/>
        <v>197556</v>
      </c>
      <c r="N64" s="11">
        <f t="shared" si="18"/>
        <v>201949</v>
      </c>
      <c r="O64" s="11">
        <f>O61-O62+O63</f>
        <v>195188</v>
      </c>
      <c r="P64" s="12">
        <f>P61-P62+P63</f>
        <v>200963</v>
      </c>
      <c r="Q64" s="12">
        <f>Q72</f>
        <v>222875</v>
      </c>
    </row>
    <row r="65" spans="1:17" x14ac:dyDescent="0.2">
      <c r="A65" s="13"/>
      <c r="B65" s="14"/>
      <c r="C65" s="14"/>
      <c r="D65" s="14"/>
      <c r="E65" s="14"/>
      <c r="F65" s="14"/>
      <c r="G65" s="14"/>
      <c r="H65" s="14"/>
      <c r="I65" s="14"/>
      <c r="J65" s="14"/>
      <c r="K65" s="14"/>
      <c r="L65" s="14"/>
      <c r="M65" s="14"/>
      <c r="N65" s="14"/>
      <c r="O65" s="14"/>
      <c r="Q65" s="14"/>
    </row>
    <row r="66" spans="1:17" ht="17" x14ac:dyDescent="0.2">
      <c r="A66" s="8" t="s">
        <v>324</v>
      </c>
      <c r="B66" s="14"/>
      <c r="C66" s="14"/>
      <c r="D66" s="14"/>
      <c r="E66" s="14"/>
      <c r="F66" s="14"/>
      <c r="G66" s="14"/>
      <c r="H66" s="14"/>
      <c r="I66" s="14"/>
      <c r="J66" s="14"/>
      <c r="K66" s="14"/>
      <c r="L66" s="14"/>
      <c r="M66" s="14"/>
      <c r="N66" s="14"/>
      <c r="O66" s="14"/>
      <c r="Q66" s="14"/>
    </row>
    <row r="67" spans="1:17" ht="17" x14ac:dyDescent="0.2">
      <c r="A67" s="9" t="s">
        <v>325</v>
      </c>
      <c r="B67" s="34">
        <f t="shared" ref="B67:P67" si="19">B72-B77</f>
        <v>88582</v>
      </c>
      <c r="C67" s="34">
        <f t="shared" si="19"/>
        <v>108585</v>
      </c>
      <c r="D67" s="34">
        <f t="shared" si="19"/>
        <v>118089</v>
      </c>
      <c r="E67" s="34">
        <f t="shared" si="19"/>
        <v>133224</v>
      </c>
      <c r="F67" s="34">
        <f t="shared" si="19"/>
        <v>136074</v>
      </c>
      <c r="G67" s="34">
        <f t="shared" si="19"/>
        <v>147748</v>
      </c>
      <c r="H67" s="34">
        <f t="shared" si="19"/>
        <v>158887</v>
      </c>
      <c r="I67" s="34">
        <f t="shared" si="19"/>
        <v>168616</v>
      </c>
      <c r="J67" s="34">
        <f t="shared" si="19"/>
        <v>174085</v>
      </c>
      <c r="K67" s="34">
        <f t="shared" si="19"/>
        <v>182723</v>
      </c>
      <c r="L67" s="34">
        <f t="shared" si="19"/>
        <v>185124</v>
      </c>
      <c r="M67" s="34">
        <f t="shared" si="19"/>
        <v>189366</v>
      </c>
      <c r="N67" s="34">
        <f t="shared" si="19"/>
        <v>191984</v>
      </c>
      <c r="O67" s="34">
        <f t="shared" si="19"/>
        <v>189029</v>
      </c>
      <c r="P67" s="34">
        <f t="shared" si="19"/>
        <v>192975</v>
      </c>
      <c r="Q67" s="34">
        <f>Q72-Q77</f>
        <v>218583</v>
      </c>
    </row>
    <row r="68" spans="1:17" x14ac:dyDescent="0.2">
      <c r="A68" s="9"/>
      <c r="B68" s="14"/>
      <c r="C68" s="14"/>
      <c r="D68" s="14"/>
      <c r="E68" s="14"/>
      <c r="F68" s="14"/>
      <c r="G68" s="14"/>
      <c r="H68" s="14"/>
      <c r="I68" s="14"/>
      <c r="J68" s="14"/>
      <c r="K68" s="14"/>
      <c r="L68" s="14"/>
      <c r="M68" s="14"/>
      <c r="N68" s="14"/>
      <c r="O68" s="14"/>
      <c r="Q68" s="14"/>
    </row>
    <row r="69" spans="1:17" x14ac:dyDescent="0.2">
      <c r="A69" s="9"/>
      <c r="B69" s="14"/>
      <c r="C69" s="14"/>
      <c r="D69" s="14"/>
      <c r="E69" s="14"/>
      <c r="F69" s="14"/>
      <c r="G69" s="14"/>
      <c r="H69" s="14"/>
      <c r="I69" s="14"/>
      <c r="J69" s="14"/>
      <c r="K69" s="14"/>
      <c r="L69" s="14"/>
      <c r="M69" s="14"/>
      <c r="N69" s="14"/>
      <c r="O69" s="14"/>
      <c r="Q69" s="14"/>
    </row>
    <row r="70" spans="1:17" x14ac:dyDescent="0.2">
      <c r="A70" s="9"/>
      <c r="B70" s="14"/>
      <c r="C70" s="14"/>
      <c r="D70" s="14"/>
      <c r="E70" s="14"/>
      <c r="F70" s="14"/>
      <c r="G70" s="14"/>
      <c r="H70" s="14"/>
      <c r="I70" s="14"/>
      <c r="J70" s="14"/>
      <c r="K70" s="14"/>
      <c r="L70" s="14"/>
      <c r="M70" s="14"/>
      <c r="N70" s="14"/>
      <c r="O70" s="14"/>
      <c r="Q70" s="14"/>
    </row>
    <row r="71" spans="1:17" ht="17" x14ac:dyDescent="0.2">
      <c r="A71" s="8" t="s">
        <v>41</v>
      </c>
      <c r="Q71" s="14"/>
    </row>
    <row r="72" spans="1:17" ht="34" x14ac:dyDescent="0.2">
      <c r="A72" s="9" t="s">
        <v>58</v>
      </c>
      <c r="B72" s="11">
        <f t="shared" ref="B72:M72" si="20">B64</f>
        <v>92011</v>
      </c>
      <c r="C72" s="11">
        <f t="shared" si="20"/>
        <v>114685</v>
      </c>
      <c r="D72" s="11">
        <f t="shared" si="20"/>
        <v>120527</v>
      </c>
      <c r="E72" s="11">
        <f t="shared" si="20"/>
        <v>133224</v>
      </c>
      <c r="F72" s="11">
        <f t="shared" si="20"/>
        <v>141054</v>
      </c>
      <c r="G72" s="11">
        <f t="shared" si="20"/>
        <v>153629</v>
      </c>
      <c r="H72" s="11">
        <f t="shared" si="20"/>
        <v>164686</v>
      </c>
      <c r="I72" s="11">
        <f t="shared" si="20"/>
        <v>173580</v>
      </c>
      <c r="J72" s="11">
        <f t="shared" si="20"/>
        <v>181032</v>
      </c>
      <c r="K72" s="11">
        <f t="shared" si="20"/>
        <v>192750</v>
      </c>
      <c r="L72" s="11">
        <f t="shared" si="20"/>
        <v>193945</v>
      </c>
      <c r="M72" s="11">
        <f t="shared" si="20"/>
        <v>197556</v>
      </c>
      <c r="N72" s="11">
        <f>N64</f>
        <v>201949</v>
      </c>
      <c r="O72" s="11">
        <f>O64</f>
        <v>195188</v>
      </c>
      <c r="P72" s="12">
        <f>P64</f>
        <v>200963</v>
      </c>
      <c r="Q72" s="12">
        <f>Q79-Q74+Q76+Q77</f>
        <v>222875</v>
      </c>
    </row>
    <row r="73" spans="1:17" ht="17" x14ac:dyDescent="0.2">
      <c r="A73" s="3" t="s">
        <v>42</v>
      </c>
      <c r="Q73" s="14"/>
    </row>
    <row r="74" spans="1:17" ht="17" x14ac:dyDescent="0.2">
      <c r="A74" s="2" t="s">
        <v>43</v>
      </c>
      <c r="B74">
        <v>37182</v>
      </c>
      <c r="C74">
        <f>32844+752</f>
        <v>33596</v>
      </c>
      <c r="D74">
        <f>30426+733</f>
        <v>31159</v>
      </c>
      <c r="E74">
        <v>28708</v>
      </c>
      <c r="F74">
        <v>29921</v>
      </c>
      <c r="G74">
        <v>29125</v>
      </c>
      <c r="H74">
        <v>28774</v>
      </c>
      <c r="I74">
        <v>28378</v>
      </c>
      <c r="J74">
        <v>28672</v>
      </c>
      <c r="K74">
        <v>28172</v>
      </c>
      <c r="L74">
        <v>26745</v>
      </c>
      <c r="M74">
        <v>24647</v>
      </c>
      <c r="N74">
        <v>21903</v>
      </c>
      <c r="O74">
        <v>18362</v>
      </c>
      <c r="P74" s="34">
        <v>14716</v>
      </c>
      <c r="Q74" s="14">
        <v>12287</v>
      </c>
    </row>
    <row r="75" spans="1:17" ht="17" x14ac:dyDescent="0.2">
      <c r="A75" s="1" t="s">
        <v>44</v>
      </c>
      <c r="Q75" s="14"/>
    </row>
    <row r="76" spans="1:17" ht="17" x14ac:dyDescent="0.2">
      <c r="A76" s="2" t="s">
        <v>45</v>
      </c>
      <c r="B76" s="11">
        <f>B49</f>
        <v>0</v>
      </c>
      <c r="C76" s="11">
        <f t="shared" ref="C76:N76" si="21">C49</f>
        <v>584</v>
      </c>
      <c r="D76" s="11">
        <f t="shared" si="21"/>
        <v>1233</v>
      </c>
      <c r="E76" s="11">
        <f t="shared" si="21"/>
        <v>1952</v>
      </c>
      <c r="F76" s="11">
        <f t="shared" si="21"/>
        <v>2677</v>
      </c>
      <c r="G76" s="11">
        <f t="shared" si="21"/>
        <v>3437</v>
      </c>
      <c r="H76" s="11">
        <f t="shared" si="21"/>
        <v>4277</v>
      </c>
      <c r="I76" s="11">
        <f t="shared" si="21"/>
        <v>5238</v>
      </c>
      <c r="J76" s="11">
        <f t="shared" si="21"/>
        <v>5659</v>
      </c>
      <c r="K76" s="11">
        <f t="shared" si="21"/>
        <v>6938</v>
      </c>
      <c r="L76" s="11">
        <f t="shared" si="21"/>
        <v>8522</v>
      </c>
      <c r="M76" s="11">
        <f t="shared" si="21"/>
        <v>10523</v>
      </c>
      <c r="N76" s="11">
        <f t="shared" si="21"/>
        <v>12816</v>
      </c>
      <c r="O76" s="11">
        <f>O49</f>
        <v>8293</v>
      </c>
      <c r="P76" s="11">
        <f t="shared" ref="P76" si="22">P49</f>
        <v>8899</v>
      </c>
      <c r="Q76" s="11">
        <v>11913</v>
      </c>
    </row>
    <row r="77" spans="1:17" ht="34" x14ac:dyDescent="0.2">
      <c r="A77" s="2" t="s">
        <v>46</v>
      </c>
      <c r="B77">
        <f>2684+745</f>
        <v>3429</v>
      </c>
      <c r="C77">
        <f>6069+31</f>
        <v>6100</v>
      </c>
      <c r="D77">
        <f>2413+25</f>
        <v>2438</v>
      </c>
      <c r="E77" s="14"/>
      <c r="F77">
        <f>697+4283</f>
        <v>4980</v>
      </c>
      <c r="G77">
        <f>1363+4518</f>
        <v>5881</v>
      </c>
      <c r="H77">
        <f>1363+4436</f>
        <v>5799</v>
      </c>
      <c r="I77">
        <f>1479+3485</f>
        <v>4964</v>
      </c>
      <c r="J77">
        <f>1142+5805</f>
        <v>6947</v>
      </c>
      <c r="K77">
        <f>383+9644</f>
        <v>10027</v>
      </c>
      <c r="L77">
        <f>308+8513</f>
        <v>8821</v>
      </c>
      <c r="M77">
        <f>258+7932</f>
        <v>8190</v>
      </c>
      <c r="N77">
        <f>9747+218</f>
        <v>9965</v>
      </c>
      <c r="O77">
        <f>210+5949</f>
        <v>6159</v>
      </c>
      <c r="P77" s="34">
        <f>0+7988</f>
        <v>7988</v>
      </c>
      <c r="Q77" s="36">
        <v>4292</v>
      </c>
    </row>
    <row r="78" spans="1:17" ht="34" x14ac:dyDescent="0.2">
      <c r="A78" s="48" t="s">
        <v>212</v>
      </c>
      <c r="E78" s="14"/>
      <c r="P78" s="34"/>
      <c r="Q78" s="36"/>
    </row>
    <row r="79" spans="1:17" ht="34" x14ac:dyDescent="0.2">
      <c r="A79" s="6" t="s">
        <v>47</v>
      </c>
      <c r="B79" s="12">
        <f t="shared" ref="B79:N79" si="23">B72+B74-B76-B77</f>
        <v>125764</v>
      </c>
      <c r="C79" s="12">
        <f t="shared" si="23"/>
        <v>141597</v>
      </c>
      <c r="D79" s="12">
        <f>D72+D74-D76-D77</f>
        <v>148015</v>
      </c>
      <c r="E79" s="12">
        <f>E72+E74-E76-E77</f>
        <v>159980</v>
      </c>
      <c r="F79" s="12">
        <f t="shared" si="23"/>
        <v>163318</v>
      </c>
      <c r="G79" s="12">
        <f t="shared" si="23"/>
        <v>173436</v>
      </c>
      <c r="H79" s="12">
        <f t="shared" si="23"/>
        <v>183384</v>
      </c>
      <c r="I79" s="12">
        <f t="shared" si="23"/>
        <v>191756</v>
      </c>
      <c r="J79" s="12">
        <f t="shared" si="23"/>
        <v>197098</v>
      </c>
      <c r="K79" s="12">
        <f t="shared" si="23"/>
        <v>203957</v>
      </c>
      <c r="L79" s="12">
        <f t="shared" si="23"/>
        <v>203347</v>
      </c>
      <c r="M79" s="12">
        <f t="shared" si="23"/>
        <v>203490</v>
      </c>
      <c r="N79" s="12">
        <f t="shared" si="23"/>
        <v>201071</v>
      </c>
      <c r="O79" s="12">
        <f>O72+O74-O76-O77</f>
        <v>199098</v>
      </c>
      <c r="P79" s="12">
        <f>P72+P74-P76-P77</f>
        <v>198792</v>
      </c>
      <c r="Q79" s="12">
        <v>218957</v>
      </c>
    </row>
    <row r="80" spans="1:17" s="14" customFormat="1" ht="17" x14ac:dyDescent="0.2">
      <c r="A80" s="44" t="s">
        <v>102</v>
      </c>
      <c r="Q80" s="34"/>
    </row>
    <row r="81" spans="1:17" s="14" customFormat="1" ht="17" x14ac:dyDescent="0.2">
      <c r="A81" s="39" t="s">
        <v>103</v>
      </c>
      <c r="Q81"/>
    </row>
    <row r="82" spans="1:17" s="14" customFormat="1" ht="17" x14ac:dyDescent="0.2">
      <c r="A82" s="39" t="s">
        <v>104</v>
      </c>
      <c r="O82" s="34"/>
      <c r="Q82"/>
    </row>
    <row r="83" spans="1:17" s="14" customFormat="1" ht="17" x14ac:dyDescent="0.2">
      <c r="A83" s="39" t="s">
        <v>105</v>
      </c>
      <c r="Q83"/>
    </row>
    <row r="84" spans="1:17" s="14" customFormat="1" ht="34" x14ac:dyDescent="0.2">
      <c r="A84" s="44" t="s">
        <v>257</v>
      </c>
      <c r="N84" s="34">
        <f>'Actifs net hors dette, FDG, ret'!N20</f>
        <v>24528</v>
      </c>
      <c r="O84" s="14">
        <f>'Actifs net hors dette, FDG, ret'!M20</f>
        <v>26540</v>
      </c>
      <c r="P84" s="34">
        <f>'Actifs net hors dette, FDG, ret'!L20</f>
        <v>27479</v>
      </c>
      <c r="Q84" s="145">
        <f>P84*(1+(P84-O84)/O84)</f>
        <v>28451.222343632253</v>
      </c>
    </row>
    <row r="85" spans="1:17" s="14" customFormat="1" ht="51" x14ac:dyDescent="0.2">
      <c r="A85" s="44" t="s">
        <v>258</v>
      </c>
      <c r="N85" s="14">
        <f>68314+'Actifs net hors dette, FDG, ret'!D29+'Actifs net hors dette, FDG, ret'!D30</f>
        <v>69073</v>
      </c>
      <c r="O85" s="14">
        <f>71316+'Actifs net hors dette, FDG, ret'!C29+'Actifs net hors dette, FDG, ret'!C30</f>
        <v>72110</v>
      </c>
      <c r="P85" s="34">
        <f>75053+'Actifs net hors dette, FDG, ret'!B29+'Actifs net hors dette, FDG, ret'!B30</f>
        <v>76107</v>
      </c>
      <c r="Q85">
        <f>ROUND(P85*(1+(P85-O85)/O85),0)</f>
        <v>80326</v>
      </c>
    </row>
    <row r="86" spans="1:17" s="14" customFormat="1" x14ac:dyDescent="0.2">
      <c r="A86" s="39"/>
      <c r="Q86"/>
    </row>
    <row r="87" spans="1:17" s="14" customFormat="1" x14ac:dyDescent="0.2">
      <c r="A87" s="39"/>
      <c r="Q87"/>
    </row>
    <row r="88" spans="1:17" s="14" customFormat="1" x14ac:dyDescent="0.2">
      <c r="A88" s="39"/>
      <c r="Q88"/>
    </row>
    <row r="89" spans="1:17" s="14" customFormat="1" x14ac:dyDescent="0.2">
      <c r="A89" s="39"/>
      <c r="Q89"/>
    </row>
    <row r="90" spans="1:17" s="14" customFormat="1" x14ac:dyDescent="0.2">
      <c r="A90" s="39"/>
      <c r="Q90"/>
    </row>
    <row r="91" spans="1:17" s="14" customFormat="1" x14ac:dyDescent="0.2">
      <c r="A91" s="39"/>
      <c r="Q91"/>
    </row>
    <row r="92" spans="1:17" s="14" customFormat="1" x14ac:dyDescent="0.2">
      <c r="A92" s="39"/>
      <c r="Q92"/>
    </row>
    <row r="93" spans="1:17" s="14" customFormat="1" x14ac:dyDescent="0.2">
      <c r="A93" s="39"/>
      <c r="Q93"/>
    </row>
    <row r="94" spans="1:17" s="14" customFormat="1" x14ac:dyDescent="0.2">
      <c r="A94" s="39"/>
      <c r="Q94"/>
    </row>
    <row r="95" spans="1:17" s="14" customFormat="1" x14ac:dyDescent="0.2">
      <c r="A95" s="39"/>
      <c r="Q95"/>
    </row>
    <row r="96" spans="1:17" s="14" customFormat="1" x14ac:dyDescent="0.2">
      <c r="A96" s="39"/>
      <c r="Q96"/>
    </row>
    <row r="97" spans="1:17" s="14" customFormat="1" x14ac:dyDescent="0.2">
      <c r="A97" s="39"/>
      <c r="Q97"/>
    </row>
    <row r="98" spans="1:17" s="14" customFormat="1" x14ac:dyDescent="0.2">
      <c r="A98" s="39"/>
      <c r="Q98"/>
    </row>
    <row r="99" spans="1:17" s="14" customFormat="1" x14ac:dyDescent="0.2">
      <c r="A99" s="39"/>
      <c r="B99" s="14">
        <f>B35/B36</f>
        <v>141026.11940298506</v>
      </c>
      <c r="C99" s="14">
        <f t="shared" ref="C99:N99" si="24">C35/C36</f>
        <v>144314.4424131627</v>
      </c>
      <c r="D99" s="14">
        <f t="shared" si="24"/>
        <v>160000</v>
      </c>
      <c r="E99" s="14">
        <f t="shared" si="24"/>
        <v>195456.73076923078</v>
      </c>
      <c r="F99" s="14">
        <f t="shared" si="24"/>
        <v>201128.20512820513</v>
      </c>
      <c r="G99" s="14">
        <f t="shared" si="24"/>
        <v>206828.70370370368</v>
      </c>
      <c r="H99" s="14">
        <f t="shared" si="24"/>
        <v>223957.34597156398</v>
      </c>
      <c r="I99" s="14">
        <f t="shared" si="24"/>
        <v>245975</v>
      </c>
      <c r="J99" s="14">
        <f t="shared" si="24"/>
        <v>271048.59335038363</v>
      </c>
      <c r="K99" s="14">
        <f t="shared" si="24"/>
        <v>275335.12064343161</v>
      </c>
      <c r="L99" s="14">
        <f t="shared" si="24"/>
        <v>275730.02754820936</v>
      </c>
      <c r="M99" s="14">
        <f t="shared" si="24"/>
        <v>269886.68555240793</v>
      </c>
      <c r="N99" s="14">
        <f t="shared" si="24"/>
        <v>261016.94915254237</v>
      </c>
      <c r="O99" s="14">
        <f>O35/O36</f>
        <v>243631.28491620114</v>
      </c>
      <c r="P99" s="14">
        <f>P35/P36</f>
        <v>229134.32835820894</v>
      </c>
      <c r="Q99"/>
    </row>
    <row r="100" spans="1:17" s="14" customFormat="1" x14ac:dyDescent="0.2">
      <c r="A100" s="39"/>
      <c r="Q100"/>
    </row>
    <row r="101" spans="1:17" s="14" customFormat="1" x14ac:dyDescent="0.2">
      <c r="A101" s="39"/>
      <c r="Q101"/>
    </row>
    <row r="102" spans="1:17" s="14" customFormat="1" x14ac:dyDescent="0.2">
      <c r="A102" s="39"/>
      <c r="Q102"/>
    </row>
    <row r="103" spans="1:17" s="14" customFormat="1" x14ac:dyDescent="0.2">
      <c r="A103" s="39"/>
      <c r="Q103"/>
    </row>
    <row r="104" spans="1:17" s="14" customFormat="1" x14ac:dyDescent="0.2">
      <c r="A104" s="39"/>
      <c r="Q104"/>
    </row>
    <row r="105" spans="1:17" s="14" customFormat="1" x14ac:dyDescent="0.2">
      <c r="A105" s="39"/>
      <c r="Q105"/>
    </row>
    <row r="106" spans="1:17" s="14" customFormat="1" x14ac:dyDescent="0.2">
      <c r="A106" s="39"/>
      <c r="Q106"/>
    </row>
    <row r="107" spans="1:17" s="14" customFormat="1" x14ac:dyDescent="0.2">
      <c r="A107" s="39"/>
      <c r="Q107"/>
    </row>
  </sheetData>
  <pageMargins left="0.7" right="0.7" top="0.75" bottom="0.75" header="0.3" footer="0.3"/>
  <pageSetup orientation="portrait" horizontalDpi="0" verticalDpi="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20642-FE36-5440-9C1D-3BE10EB9FB58}">
  <dimension ref="A1:J69"/>
  <sheetViews>
    <sheetView zoomScale="90" zoomScaleNormal="90" workbookViewId="0">
      <selection activeCell="D7" sqref="D7"/>
    </sheetView>
  </sheetViews>
  <sheetFormatPr baseColWidth="10" defaultRowHeight="16" x14ac:dyDescent="0.2"/>
  <cols>
    <col min="1" max="1" width="29" customWidth="1"/>
    <col min="2" max="31" width="24.33203125" customWidth="1"/>
  </cols>
  <sheetData>
    <row r="1" spans="1:8" s="152" customFormat="1" x14ac:dyDescent="0.2">
      <c r="A1" s="152" t="s">
        <v>280</v>
      </c>
    </row>
    <row r="2" spans="1:8" ht="34" x14ac:dyDescent="0.2">
      <c r="A2" s="150"/>
      <c r="B2" s="150" t="s">
        <v>287</v>
      </c>
      <c r="C2" s="150" t="s">
        <v>284</v>
      </c>
      <c r="D2" s="153" t="s">
        <v>285</v>
      </c>
      <c r="E2" s="150" t="s">
        <v>286</v>
      </c>
      <c r="G2" s="153" t="s">
        <v>285</v>
      </c>
      <c r="H2" s="150" t="s">
        <v>286</v>
      </c>
    </row>
    <row r="3" spans="1:8" ht="22" customHeight="1" x14ac:dyDescent="0.2">
      <c r="A3" s="157" t="s">
        <v>17</v>
      </c>
      <c r="B3" s="151">
        <f>52989</f>
        <v>52989</v>
      </c>
      <c r="C3" s="147">
        <f>6580</f>
        <v>6580</v>
      </c>
      <c r="D3" s="154">
        <f>D32</f>
        <v>6580</v>
      </c>
      <c r="E3" s="151">
        <f>B3-D3</f>
        <v>46409</v>
      </c>
      <c r="G3" s="154"/>
      <c r="H3" s="151"/>
    </row>
    <row r="4" spans="1:8" ht="22" customHeight="1" x14ac:dyDescent="0.2">
      <c r="A4" s="157" t="s">
        <v>18</v>
      </c>
      <c r="B4" s="151">
        <f>27624</f>
        <v>27624</v>
      </c>
      <c r="C4" s="147">
        <f>340+193</f>
        <v>533</v>
      </c>
      <c r="D4" s="154">
        <f>E33</f>
        <v>1005</v>
      </c>
      <c r="E4" s="151">
        <f t="shared" ref="E4:E7" si="0">B4-D4</f>
        <v>26619</v>
      </c>
      <c r="G4" s="154"/>
      <c r="H4" s="151"/>
    </row>
    <row r="5" spans="1:8" ht="22" customHeight="1" x14ac:dyDescent="0.2">
      <c r="A5" s="157" t="s">
        <v>19</v>
      </c>
      <c r="B5" s="151">
        <f>18957</f>
        <v>18957</v>
      </c>
      <c r="C5" s="147"/>
      <c r="D5" s="154">
        <f>F33</f>
        <v>3566</v>
      </c>
      <c r="E5" s="151">
        <f t="shared" si="0"/>
        <v>15391</v>
      </c>
      <c r="G5" s="154"/>
      <c r="H5" s="151"/>
    </row>
    <row r="6" spans="1:8" ht="22" customHeight="1" x14ac:dyDescent="0.2">
      <c r="A6" s="157" t="s">
        <v>20</v>
      </c>
      <c r="B6" s="151">
        <f>11417</f>
        <v>11417</v>
      </c>
      <c r="C6" s="147"/>
      <c r="D6" s="154">
        <f>G33</f>
        <v>171</v>
      </c>
      <c r="E6" s="151">
        <f t="shared" si="0"/>
        <v>11246</v>
      </c>
      <c r="G6" s="154"/>
      <c r="H6" s="151"/>
    </row>
    <row r="7" spans="1:8" ht="22" customHeight="1" x14ac:dyDescent="0.2">
      <c r="A7" s="157" t="s">
        <v>21</v>
      </c>
      <c r="B7" s="151">
        <f>11754</f>
        <v>11754</v>
      </c>
      <c r="C7" s="147"/>
      <c r="D7" s="154">
        <f>H33</f>
        <v>598</v>
      </c>
      <c r="E7" s="151">
        <f t="shared" si="0"/>
        <v>11156</v>
      </c>
      <c r="G7" s="154"/>
      <c r="H7" s="151"/>
    </row>
    <row r="8" spans="1:8" ht="17" x14ac:dyDescent="0.2">
      <c r="A8" s="157" t="s">
        <v>261</v>
      </c>
      <c r="B8" s="147"/>
      <c r="C8" s="151">
        <v>4807</v>
      </c>
      <c r="D8" s="154"/>
      <c r="E8" s="147"/>
      <c r="G8" s="154"/>
      <c r="H8" s="147"/>
    </row>
    <row r="9" spans="1:8" ht="17" x14ac:dyDescent="0.2">
      <c r="A9" s="157" t="s">
        <v>283</v>
      </c>
      <c r="B9" s="151">
        <f>SUM(B3:B8)</f>
        <v>122741</v>
      </c>
      <c r="C9" s="151">
        <f t="shared" ref="C9" si="1">SUM(C3:C8)</f>
        <v>11920</v>
      </c>
      <c r="D9" s="151">
        <f>SUM(D3:D8)</f>
        <v>11920</v>
      </c>
      <c r="E9" s="147"/>
      <c r="G9" s="151"/>
      <c r="H9" s="147"/>
    </row>
    <row r="10" spans="1:8" x14ac:dyDescent="0.2">
      <c r="C10" s="20"/>
    </row>
    <row r="11" spans="1:8" s="152" customFormat="1" x14ac:dyDescent="0.2">
      <c r="A11" s="152" t="s">
        <v>260</v>
      </c>
    </row>
    <row r="12" spans="1:8" x14ac:dyDescent="0.2">
      <c r="A12" t="s">
        <v>262</v>
      </c>
    </row>
    <row r="13" spans="1:8" x14ac:dyDescent="0.2">
      <c r="C13" s="158"/>
      <c r="D13" s="186" t="s">
        <v>259</v>
      </c>
      <c r="E13" s="187"/>
      <c r="F13" s="187"/>
      <c r="G13" s="187"/>
      <c r="H13" s="188"/>
    </row>
    <row r="14" spans="1:8" ht="34" x14ac:dyDescent="0.2">
      <c r="D14" s="150" t="s">
        <v>17</v>
      </c>
      <c r="E14" s="150" t="s">
        <v>18</v>
      </c>
      <c r="F14" s="150" t="s">
        <v>19</v>
      </c>
      <c r="G14" s="150" t="s">
        <v>20</v>
      </c>
      <c r="H14" s="150" t="s">
        <v>21</v>
      </c>
    </row>
    <row r="15" spans="1:8" x14ac:dyDescent="0.2">
      <c r="A15" s="147" t="s">
        <v>263</v>
      </c>
      <c r="B15" s="147">
        <v>885</v>
      </c>
      <c r="D15" s="147"/>
      <c r="E15" s="155"/>
      <c r="F15" s="159">
        <f>B15*(D44/H44)</f>
        <v>587.12480099405889</v>
      </c>
      <c r="G15" s="155"/>
      <c r="H15" s="159">
        <f>B15*(F44/H44)</f>
        <v>297.875199005941</v>
      </c>
    </row>
    <row r="16" spans="1:8" x14ac:dyDescent="0.2">
      <c r="A16" s="147" t="s">
        <v>264</v>
      </c>
      <c r="B16" s="147">
        <v>64</v>
      </c>
      <c r="D16" s="147"/>
      <c r="E16" s="155"/>
      <c r="F16" s="155">
        <f>B16</f>
        <v>64</v>
      </c>
      <c r="G16" s="155"/>
      <c r="H16" s="155"/>
    </row>
    <row r="17" spans="1:10" x14ac:dyDescent="0.2">
      <c r="A17" s="147" t="s">
        <v>265</v>
      </c>
      <c r="B17" s="147">
        <v>237</v>
      </c>
      <c r="D17" s="147"/>
      <c r="E17" s="155">
        <f>B17</f>
        <v>237</v>
      </c>
      <c r="F17" s="155"/>
      <c r="G17" s="155"/>
      <c r="H17" s="155"/>
    </row>
    <row r="18" spans="1:10" x14ac:dyDescent="0.2">
      <c r="A18" s="147" t="s">
        <v>266</v>
      </c>
      <c r="B18" s="147">
        <v>786.8</v>
      </c>
      <c r="D18" s="147"/>
      <c r="E18" s="155"/>
      <c r="F18" s="155">
        <f>B18</f>
        <v>786.8</v>
      </c>
      <c r="G18" s="155"/>
      <c r="H18" s="155"/>
    </row>
    <row r="19" spans="1:10" x14ac:dyDescent="0.2">
      <c r="A19" s="147" t="s">
        <v>267</v>
      </c>
      <c r="B19" s="147">
        <v>513.29999999999995</v>
      </c>
      <c r="D19" s="147"/>
      <c r="E19" s="159">
        <f>B19*(C50/H50)</f>
        <v>512.6633028053601</v>
      </c>
      <c r="F19" s="159"/>
      <c r="G19" s="159">
        <f>B19*(E50/H50)</f>
        <v>0.63999614383495607</v>
      </c>
      <c r="H19" s="155"/>
    </row>
    <row r="20" spans="1:10" x14ac:dyDescent="0.2">
      <c r="A20" s="147" t="s">
        <v>268</v>
      </c>
      <c r="B20" s="147">
        <v>25</v>
      </c>
      <c r="D20" s="147"/>
      <c r="E20" s="155"/>
      <c r="F20" s="155">
        <f>B20</f>
        <v>25</v>
      </c>
      <c r="G20" s="155"/>
      <c r="H20" s="155"/>
    </row>
    <row r="21" spans="1:10" x14ac:dyDescent="0.2">
      <c r="A21" s="147" t="s">
        <v>269</v>
      </c>
      <c r="B21" s="147">
        <v>192.5</v>
      </c>
      <c r="D21" s="147"/>
      <c r="E21" s="155">
        <f>B21</f>
        <v>192.5</v>
      </c>
      <c r="F21" s="155"/>
      <c r="G21" s="155"/>
      <c r="H21" s="155"/>
    </row>
    <row r="22" spans="1:10" x14ac:dyDescent="0.2">
      <c r="A22" s="147" t="s">
        <v>270</v>
      </c>
      <c r="B22" s="147">
        <v>141.19999999999999</v>
      </c>
      <c r="D22" s="147"/>
      <c r="E22" s="155"/>
      <c r="F22" s="155"/>
      <c r="G22" s="155">
        <f>B22</f>
        <v>141.19999999999999</v>
      </c>
      <c r="H22" s="155"/>
    </row>
    <row r="23" spans="1:10" x14ac:dyDescent="0.2">
      <c r="A23" s="147" t="s">
        <v>271</v>
      </c>
      <c r="B23" s="147">
        <v>237</v>
      </c>
      <c r="D23" s="147"/>
      <c r="E23" s="155"/>
      <c r="F23" s="155"/>
      <c r="G23" s="155"/>
      <c r="H23" s="155">
        <v>237</v>
      </c>
    </row>
    <row r="24" spans="1:10" x14ac:dyDescent="0.2">
      <c r="A24" s="147" t="s">
        <v>272</v>
      </c>
      <c r="B24" s="147">
        <v>43.6</v>
      </c>
      <c r="D24" s="147"/>
      <c r="E24" s="155"/>
      <c r="F24" s="155">
        <f>B24</f>
        <v>43.6</v>
      </c>
      <c r="G24" s="155"/>
      <c r="H24" s="155"/>
    </row>
    <row r="25" spans="1:10" x14ac:dyDescent="0.2">
      <c r="A25" s="147" t="s">
        <v>273</v>
      </c>
      <c r="B25" s="147">
        <v>5</v>
      </c>
      <c r="D25" s="147"/>
      <c r="E25" s="160">
        <f>B25*(C58/H58)</f>
        <v>0.17934500086640098</v>
      </c>
      <c r="F25" s="155"/>
      <c r="G25" s="160">
        <f>B25*(E58/H58)</f>
        <v>1.6227690175012996</v>
      </c>
      <c r="H25" s="160">
        <f>B25*(F58/H58)</f>
        <v>3.1978859816322998</v>
      </c>
    </row>
    <row r="26" spans="1:10" x14ac:dyDescent="0.2">
      <c r="A26" s="147" t="s">
        <v>274</v>
      </c>
      <c r="B26" s="147">
        <v>6580</v>
      </c>
      <c r="D26" s="147">
        <f>B26</f>
        <v>6580</v>
      </c>
      <c r="E26" s="155"/>
      <c r="F26" s="155"/>
      <c r="G26" s="155"/>
      <c r="H26" s="155"/>
    </row>
    <row r="27" spans="1:10" x14ac:dyDescent="0.2">
      <c r="A27" s="147" t="s">
        <v>275</v>
      </c>
      <c r="B27" s="147">
        <v>23.7</v>
      </c>
      <c r="D27" s="147"/>
      <c r="E27" s="155"/>
      <c r="F27" s="161">
        <f>B27*(D61/H61)</f>
        <v>1.0017511836175916</v>
      </c>
      <c r="G27" s="161"/>
      <c r="H27" s="161">
        <f>B27*(F61/H61)</f>
        <v>22.69824881638241</v>
      </c>
    </row>
    <row r="28" spans="1:10" x14ac:dyDescent="0.2">
      <c r="A28" s="147" t="s">
        <v>276</v>
      </c>
      <c r="B28" s="147">
        <v>121.2</v>
      </c>
      <c r="D28" s="147"/>
      <c r="E28" s="155"/>
      <c r="F28" s="155">
        <f>B28</f>
        <v>121.2</v>
      </c>
      <c r="G28" s="155"/>
      <c r="H28" s="155"/>
    </row>
    <row r="29" spans="1:10" x14ac:dyDescent="0.2">
      <c r="A29" s="147" t="s">
        <v>277</v>
      </c>
      <c r="B29" s="147">
        <v>1711.8</v>
      </c>
      <c r="D29" s="147"/>
      <c r="E29" s="155"/>
      <c r="F29" s="155">
        <f>B29</f>
        <v>1711.8</v>
      </c>
      <c r="G29" s="155"/>
      <c r="H29" s="155"/>
    </row>
    <row r="30" spans="1:10" x14ac:dyDescent="0.2">
      <c r="A30" s="147" t="s">
        <v>278</v>
      </c>
      <c r="B30" s="147">
        <v>21.4</v>
      </c>
      <c r="D30" s="147"/>
      <c r="E30" s="155"/>
      <c r="F30" s="161">
        <f>B30*(D64/H64)</f>
        <v>4.1022064306707025</v>
      </c>
      <c r="G30" s="161">
        <f>B30*(E64/H64)</f>
        <v>17.297793569329297</v>
      </c>
      <c r="H30" s="155"/>
    </row>
    <row r="31" spans="1:10" ht="36" customHeight="1" x14ac:dyDescent="0.2">
      <c r="A31" s="147" t="s">
        <v>279</v>
      </c>
      <c r="B31" s="147">
        <f>SUM(B15:B30)</f>
        <v>11588.5</v>
      </c>
      <c r="D31" s="147"/>
      <c r="E31" s="155"/>
      <c r="F31" s="155"/>
      <c r="G31" s="155"/>
      <c r="H31" s="155"/>
      <c r="I31" s="148" t="s">
        <v>281</v>
      </c>
    </row>
    <row r="32" spans="1:10" x14ac:dyDescent="0.2">
      <c r="D32" s="147">
        <f>SUM(D15:D31)</f>
        <v>6580</v>
      </c>
      <c r="E32" s="147">
        <f>SUM(E15:E31)</f>
        <v>942.34264780622652</v>
      </c>
      <c r="F32" s="179">
        <f>SUM(F15:F31)</f>
        <v>3344.6287586083472</v>
      </c>
      <c r="G32" s="147">
        <f>SUM(G15:G31)</f>
        <v>160.76055873066554</v>
      </c>
      <c r="H32" s="147">
        <f>SUM(H15:H31)</f>
        <v>560.77133380395571</v>
      </c>
      <c r="I32" s="162">
        <f>SUM(E32:H32)</f>
        <v>5008.5032989491947</v>
      </c>
      <c r="J32" s="162">
        <f>I33-I32</f>
        <v>331.49670105080531</v>
      </c>
    </row>
    <row r="33" spans="1:9" x14ac:dyDescent="0.2">
      <c r="D33" s="149" t="s">
        <v>282</v>
      </c>
      <c r="E33" s="147">
        <f>ROUND(E32/$I32*(11920-$D32),0)</f>
        <v>1005</v>
      </c>
      <c r="F33" s="147">
        <f>ROUND(F32/$I32*(11920-$D32),0)</f>
        <v>3566</v>
      </c>
      <c r="G33" s="147">
        <f t="shared" ref="G33:H33" si="2">ROUND(G32/$I32*(11920-$D32),0)</f>
        <v>171</v>
      </c>
      <c r="H33" s="147">
        <f t="shared" si="2"/>
        <v>598</v>
      </c>
      <c r="I33" s="147">
        <f>SUM(E33:H33)</f>
        <v>5340</v>
      </c>
    </row>
    <row r="34" spans="1:9" x14ac:dyDescent="0.2">
      <c r="D34" s="37"/>
    </row>
    <row r="35" spans="1:9" x14ac:dyDescent="0.2">
      <c r="D35" s="37"/>
    </row>
    <row r="36" spans="1:9" x14ac:dyDescent="0.2">
      <c r="D36" s="37"/>
    </row>
    <row r="37" spans="1:9" x14ac:dyDescent="0.2">
      <c r="A37" s="189" t="s">
        <v>292</v>
      </c>
      <c r="B37" s="189"/>
      <c r="C37" s="189"/>
      <c r="D37" s="189"/>
      <c r="E37" s="189"/>
      <c r="F37" s="189"/>
      <c r="G37" s="189"/>
      <c r="H37" s="189"/>
    </row>
    <row r="38" spans="1:9" x14ac:dyDescent="0.2">
      <c r="A38" s="189"/>
      <c r="B38" s="189"/>
      <c r="C38" s="189"/>
      <c r="D38" s="189"/>
      <c r="E38" s="189"/>
      <c r="F38" s="189"/>
      <c r="G38" s="189"/>
      <c r="H38" s="189"/>
    </row>
    <row r="39" spans="1:9" ht="19" x14ac:dyDescent="0.25">
      <c r="B39" s="190" t="s">
        <v>259</v>
      </c>
      <c r="C39" s="190"/>
      <c r="D39" s="190"/>
      <c r="E39" s="190"/>
      <c r="F39" s="190"/>
      <c r="G39" s="190"/>
      <c r="H39" s="190"/>
    </row>
    <row r="40" spans="1:9" ht="34" x14ac:dyDescent="0.2">
      <c r="B40" s="163" t="s">
        <v>293</v>
      </c>
      <c r="C40" s="163" t="s">
        <v>294</v>
      </c>
      <c r="D40" s="163" t="s">
        <v>295</v>
      </c>
      <c r="E40" s="156" t="s">
        <v>296</v>
      </c>
      <c r="F40" s="163" t="s">
        <v>297</v>
      </c>
      <c r="G40" s="163" t="s">
        <v>23</v>
      </c>
      <c r="H40" s="163" t="s">
        <v>283</v>
      </c>
    </row>
    <row r="41" spans="1:9" ht="19" x14ac:dyDescent="0.25">
      <c r="A41" s="164" t="s">
        <v>298</v>
      </c>
      <c r="E41" s="1"/>
      <c r="H41" s="37"/>
    </row>
    <row r="42" spans="1:9" x14ac:dyDescent="0.2">
      <c r="A42" t="s">
        <v>299</v>
      </c>
      <c r="F42">
        <v>142.6</v>
      </c>
      <c r="H42" s="37">
        <v>142.6</v>
      </c>
    </row>
    <row r="43" spans="1:9" ht="34" x14ac:dyDescent="0.2">
      <c r="A43" s="1" t="s">
        <v>300</v>
      </c>
      <c r="F43">
        <v>121.3</v>
      </c>
      <c r="H43" s="37">
        <v>121.3</v>
      </c>
    </row>
    <row r="44" spans="1:9" x14ac:dyDescent="0.2">
      <c r="A44" t="s">
        <v>301</v>
      </c>
      <c r="D44">
        <v>1708.5</v>
      </c>
      <c r="F44">
        <v>866.8</v>
      </c>
      <c r="H44" s="37">
        <v>2575.3000000000002</v>
      </c>
    </row>
    <row r="45" spans="1:9" ht="34" x14ac:dyDescent="0.2">
      <c r="A45" s="1" t="s">
        <v>264</v>
      </c>
      <c r="D45">
        <v>1094.3</v>
      </c>
      <c r="H45" s="37">
        <v>1094.3</v>
      </c>
    </row>
    <row r="46" spans="1:9" ht="34" x14ac:dyDescent="0.2">
      <c r="A46" s="1" t="s">
        <v>302</v>
      </c>
      <c r="F46">
        <v>5754.3</v>
      </c>
      <c r="H46" s="37">
        <v>5754.3</v>
      </c>
    </row>
    <row r="47" spans="1:9" x14ac:dyDescent="0.2">
      <c r="A47" t="s">
        <v>303</v>
      </c>
      <c r="F47">
        <v>675.3</v>
      </c>
      <c r="H47" s="37">
        <v>675.3</v>
      </c>
    </row>
    <row r="48" spans="1:9" x14ac:dyDescent="0.2">
      <c r="A48" t="s">
        <v>304</v>
      </c>
      <c r="C48">
        <v>857.3</v>
      </c>
      <c r="G48">
        <v>3</v>
      </c>
      <c r="H48" s="37">
        <v>860.4</v>
      </c>
    </row>
    <row r="49" spans="1:8" x14ac:dyDescent="0.2">
      <c r="A49" t="s">
        <v>305</v>
      </c>
      <c r="D49">
        <v>1505</v>
      </c>
      <c r="H49" s="37">
        <v>1505</v>
      </c>
    </row>
    <row r="50" spans="1:8" x14ac:dyDescent="0.2">
      <c r="A50" t="s">
        <v>306</v>
      </c>
      <c r="C50">
        <v>15540.2</v>
      </c>
      <c r="E50">
        <v>19.399999999999999</v>
      </c>
      <c r="H50" s="37">
        <v>15559.5</v>
      </c>
    </row>
    <row r="51" spans="1:8" x14ac:dyDescent="0.2">
      <c r="A51" t="s">
        <v>307</v>
      </c>
      <c r="D51">
        <v>121.9</v>
      </c>
      <c r="H51" s="37">
        <v>121.9</v>
      </c>
    </row>
    <row r="52" spans="1:8" x14ac:dyDescent="0.2">
      <c r="A52" t="s">
        <v>308</v>
      </c>
      <c r="C52">
        <v>7894.5</v>
      </c>
      <c r="H52" s="37">
        <v>7894.5</v>
      </c>
    </row>
    <row r="53" spans="1:8" ht="34" x14ac:dyDescent="0.2">
      <c r="A53" s="1" t="s">
        <v>309</v>
      </c>
      <c r="D53">
        <v>301.3</v>
      </c>
      <c r="H53" s="37">
        <v>301.3</v>
      </c>
    </row>
    <row r="54" spans="1:8" x14ac:dyDescent="0.2">
      <c r="A54" t="s">
        <v>310</v>
      </c>
      <c r="E54">
        <v>2976.1</v>
      </c>
      <c r="H54" s="37">
        <v>2976.1</v>
      </c>
    </row>
    <row r="55" spans="1:8" x14ac:dyDescent="0.2">
      <c r="A55" t="s">
        <v>311</v>
      </c>
      <c r="F55">
        <v>175.6</v>
      </c>
      <c r="G55">
        <v>6199</v>
      </c>
      <c r="H55" s="37">
        <v>6374.6</v>
      </c>
    </row>
    <row r="56" spans="1:8" x14ac:dyDescent="0.2">
      <c r="A56" t="s">
        <v>272</v>
      </c>
      <c r="D56">
        <v>553.9</v>
      </c>
      <c r="H56" s="37">
        <v>553.9</v>
      </c>
    </row>
    <row r="57" spans="1:8" ht="34" x14ac:dyDescent="0.2">
      <c r="A57" s="1" t="s">
        <v>312</v>
      </c>
      <c r="C57">
        <v>522.79999999999995</v>
      </c>
      <c r="H57" s="37">
        <v>522.79999999999995</v>
      </c>
    </row>
    <row r="58" spans="1:8" x14ac:dyDescent="0.2">
      <c r="A58" t="s">
        <v>313</v>
      </c>
      <c r="C58">
        <v>41.4</v>
      </c>
      <c r="E58">
        <v>374.6</v>
      </c>
      <c r="F58">
        <v>738.2</v>
      </c>
      <c r="H58" s="37">
        <v>1154.2</v>
      </c>
    </row>
    <row r="59" spans="1:8" ht="34" x14ac:dyDescent="0.2">
      <c r="A59" s="1" t="s">
        <v>314</v>
      </c>
      <c r="D59">
        <v>126.6</v>
      </c>
      <c r="H59" s="37">
        <v>126.6</v>
      </c>
    </row>
    <row r="60" spans="1:8" x14ac:dyDescent="0.2">
      <c r="A60" t="s">
        <v>315</v>
      </c>
      <c r="B60">
        <v>47077.599999999999</v>
      </c>
      <c r="E60">
        <v>36.299999999999997</v>
      </c>
      <c r="H60" s="37">
        <v>47113.9</v>
      </c>
    </row>
    <row r="61" spans="1:8" x14ac:dyDescent="0.2">
      <c r="A61" t="s">
        <v>316</v>
      </c>
      <c r="D61">
        <v>74.099999999999994</v>
      </c>
      <c r="F61">
        <v>1679</v>
      </c>
      <c r="H61" s="37">
        <v>1753.1</v>
      </c>
    </row>
    <row r="62" spans="1:8" x14ac:dyDescent="0.2">
      <c r="A62" t="s">
        <v>317</v>
      </c>
      <c r="D62">
        <v>215.7</v>
      </c>
      <c r="H62" s="37">
        <v>215.7</v>
      </c>
    </row>
    <row r="63" spans="1:8" x14ac:dyDescent="0.2">
      <c r="A63" t="s">
        <v>318</v>
      </c>
      <c r="D63">
        <v>1221.3</v>
      </c>
      <c r="H63" s="37">
        <v>1221.3</v>
      </c>
    </row>
    <row r="64" spans="1:8" x14ac:dyDescent="0.2">
      <c r="A64" t="s">
        <v>278</v>
      </c>
      <c r="D64">
        <v>874</v>
      </c>
      <c r="E64">
        <v>3685.4</v>
      </c>
      <c r="H64" s="37">
        <v>4559.3999999999996</v>
      </c>
    </row>
    <row r="65" spans="1:8" x14ac:dyDescent="0.2">
      <c r="H65" s="37"/>
    </row>
    <row r="66" spans="1:8" x14ac:dyDescent="0.2">
      <c r="A66" s="37" t="s">
        <v>283</v>
      </c>
      <c r="B66" s="37">
        <v>47077.599999999999</v>
      </c>
      <c r="C66" s="37">
        <v>24856.1</v>
      </c>
      <c r="D66" s="37">
        <v>7796.7</v>
      </c>
      <c r="E66" s="37">
        <v>7091.8</v>
      </c>
      <c r="F66" s="37">
        <v>10153.1</v>
      </c>
      <c r="G66" s="37">
        <v>6202</v>
      </c>
      <c r="H66" s="37">
        <v>103177.4</v>
      </c>
    </row>
    <row r="68" spans="1:8" x14ac:dyDescent="0.2">
      <c r="A68" t="s">
        <v>319</v>
      </c>
    </row>
    <row r="69" spans="1:8" x14ac:dyDescent="0.2">
      <c r="A69" t="s">
        <v>320</v>
      </c>
    </row>
  </sheetData>
  <mergeCells count="3">
    <mergeCell ref="D13:H13"/>
    <mergeCell ref="A37:H38"/>
    <mergeCell ref="B39:H39"/>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CC06B-4A8C-5946-9DF8-69D3D76FEA12}">
  <dimension ref="A1:J69"/>
  <sheetViews>
    <sheetView zoomScale="90" zoomScaleNormal="90" workbookViewId="0">
      <selection activeCell="C3" sqref="C3"/>
    </sheetView>
  </sheetViews>
  <sheetFormatPr baseColWidth="10" defaultRowHeight="16" x14ac:dyDescent="0.2"/>
  <cols>
    <col min="1" max="1" width="29" customWidth="1"/>
    <col min="2" max="31" width="24.33203125" customWidth="1"/>
  </cols>
  <sheetData>
    <row r="1" spans="1:8" s="152" customFormat="1" x14ac:dyDescent="0.2">
      <c r="A1" s="152" t="s">
        <v>280</v>
      </c>
    </row>
    <row r="2" spans="1:8" ht="34" x14ac:dyDescent="0.2">
      <c r="A2" s="150"/>
      <c r="B2" s="150" t="s">
        <v>287</v>
      </c>
      <c r="C2" s="150" t="s">
        <v>284</v>
      </c>
      <c r="D2" s="153" t="s">
        <v>285</v>
      </c>
      <c r="E2" s="150" t="s">
        <v>286</v>
      </c>
      <c r="G2" s="153" t="s">
        <v>285</v>
      </c>
      <c r="H2" s="150" t="s">
        <v>286</v>
      </c>
    </row>
    <row r="3" spans="1:8" ht="22" customHeight="1" x14ac:dyDescent="0.2">
      <c r="A3" s="157" t="s">
        <v>17</v>
      </c>
      <c r="B3" s="151">
        <f>52989</f>
        <v>52989</v>
      </c>
      <c r="C3" s="180">
        <v>8333</v>
      </c>
      <c r="D3" s="154">
        <f>C3</f>
        <v>8333</v>
      </c>
      <c r="E3" s="151">
        <f>B3-D3</f>
        <v>44656</v>
      </c>
      <c r="G3" s="154"/>
      <c r="H3" s="151"/>
    </row>
    <row r="4" spans="1:8" ht="22" customHeight="1" x14ac:dyDescent="0.2">
      <c r="A4" s="157" t="s">
        <v>18</v>
      </c>
      <c r="B4" s="151">
        <f>27624</f>
        <v>27624</v>
      </c>
      <c r="C4" s="147">
        <f>340+193</f>
        <v>533</v>
      </c>
      <c r="D4" s="154">
        <f>E33</f>
        <v>1005</v>
      </c>
      <c r="E4" s="151">
        <f t="shared" ref="E4:E7" si="0">B4-D4</f>
        <v>26619</v>
      </c>
      <c r="G4" s="154"/>
      <c r="H4" s="151"/>
    </row>
    <row r="5" spans="1:8" ht="22" customHeight="1" x14ac:dyDescent="0.2">
      <c r="A5" s="157" t="s">
        <v>19</v>
      </c>
      <c r="B5" s="151">
        <f>18957</f>
        <v>18957</v>
      </c>
      <c r="C5" s="147"/>
      <c r="D5" s="154">
        <f>F33</f>
        <v>3566</v>
      </c>
      <c r="E5" s="151">
        <f t="shared" si="0"/>
        <v>15391</v>
      </c>
      <c r="G5" s="154"/>
      <c r="H5" s="151"/>
    </row>
    <row r="6" spans="1:8" ht="22" customHeight="1" x14ac:dyDescent="0.2">
      <c r="A6" s="157" t="s">
        <v>20</v>
      </c>
      <c r="B6" s="151">
        <f>11417</f>
        <v>11417</v>
      </c>
      <c r="C6" s="147"/>
      <c r="D6" s="154">
        <f>G33</f>
        <v>171</v>
      </c>
      <c r="E6" s="151">
        <f t="shared" si="0"/>
        <v>11246</v>
      </c>
      <c r="G6" s="154"/>
      <c r="H6" s="151"/>
    </row>
    <row r="7" spans="1:8" ht="22" customHeight="1" x14ac:dyDescent="0.2">
      <c r="A7" s="157" t="s">
        <v>21</v>
      </c>
      <c r="B7" s="151">
        <f>11754</f>
        <v>11754</v>
      </c>
      <c r="C7" s="147"/>
      <c r="D7" s="154">
        <f>H33</f>
        <v>598</v>
      </c>
      <c r="E7" s="151">
        <f t="shared" si="0"/>
        <v>11156</v>
      </c>
      <c r="G7" s="154"/>
      <c r="H7" s="151"/>
    </row>
    <row r="8" spans="1:8" ht="17" x14ac:dyDescent="0.2">
      <c r="A8" s="157" t="s">
        <v>261</v>
      </c>
      <c r="B8" s="147"/>
      <c r="C8" s="151">
        <v>4807</v>
      </c>
      <c r="D8" s="154"/>
      <c r="E8" s="147"/>
      <c r="G8" s="154"/>
      <c r="H8" s="147"/>
    </row>
    <row r="9" spans="1:8" ht="17" x14ac:dyDescent="0.2">
      <c r="A9" s="157" t="s">
        <v>283</v>
      </c>
      <c r="B9" s="151">
        <f>SUM(B3:B8)</f>
        <v>122741</v>
      </c>
      <c r="C9" s="151">
        <f t="shared" ref="C9:D9" si="1">SUM(C3:C8)</f>
        <v>13673</v>
      </c>
      <c r="D9" s="151">
        <f t="shared" si="1"/>
        <v>13673</v>
      </c>
      <c r="E9" s="147"/>
      <c r="G9" s="151"/>
      <c r="H9" s="147"/>
    </row>
    <row r="10" spans="1:8" x14ac:dyDescent="0.2">
      <c r="C10" s="20"/>
    </row>
    <row r="11" spans="1:8" s="152" customFormat="1" x14ac:dyDescent="0.2">
      <c r="A11" s="152" t="s">
        <v>260</v>
      </c>
    </row>
    <row r="12" spans="1:8" x14ac:dyDescent="0.2">
      <c r="A12" t="s">
        <v>262</v>
      </c>
    </row>
    <row r="13" spans="1:8" x14ac:dyDescent="0.2">
      <c r="C13" s="158"/>
      <c r="D13" s="186" t="s">
        <v>259</v>
      </c>
      <c r="E13" s="187"/>
      <c r="F13" s="187"/>
      <c r="G13" s="187"/>
      <c r="H13" s="188"/>
    </row>
    <row r="14" spans="1:8" ht="34" x14ac:dyDescent="0.2">
      <c r="D14" s="150" t="s">
        <v>17</v>
      </c>
      <c r="E14" s="150" t="s">
        <v>18</v>
      </c>
      <c r="F14" s="150" t="s">
        <v>19</v>
      </c>
      <c r="G14" s="150" t="s">
        <v>20</v>
      </c>
      <c r="H14" s="150" t="s">
        <v>21</v>
      </c>
    </row>
    <row r="15" spans="1:8" x14ac:dyDescent="0.2">
      <c r="A15" s="147" t="s">
        <v>263</v>
      </c>
      <c r="B15" s="147">
        <v>885</v>
      </c>
      <c r="D15" s="147"/>
      <c r="E15" s="155"/>
      <c r="F15" s="159">
        <f>B15*(D44/H44)</f>
        <v>587.12480099405889</v>
      </c>
      <c r="G15" s="155"/>
      <c r="H15" s="159">
        <f>B15*(F44/H44)</f>
        <v>297.875199005941</v>
      </c>
    </row>
    <row r="16" spans="1:8" x14ac:dyDescent="0.2">
      <c r="A16" s="147" t="s">
        <v>264</v>
      </c>
      <c r="B16" s="147">
        <v>64</v>
      </c>
      <c r="D16" s="147"/>
      <c r="E16" s="155"/>
      <c r="F16" s="155">
        <f>B16</f>
        <v>64</v>
      </c>
      <c r="G16" s="155"/>
      <c r="H16" s="155"/>
    </row>
    <row r="17" spans="1:10" x14ac:dyDescent="0.2">
      <c r="A17" s="147" t="s">
        <v>265</v>
      </c>
      <c r="B17" s="147">
        <v>237</v>
      </c>
      <c r="D17" s="147"/>
      <c r="E17" s="155">
        <f>B17</f>
        <v>237</v>
      </c>
      <c r="F17" s="155"/>
      <c r="G17" s="155"/>
      <c r="H17" s="155"/>
    </row>
    <row r="18" spans="1:10" x14ac:dyDescent="0.2">
      <c r="A18" s="147" t="s">
        <v>266</v>
      </c>
      <c r="B18" s="147">
        <v>786.8</v>
      </c>
      <c r="D18" s="147"/>
      <c r="E18" s="155"/>
      <c r="F18" s="155">
        <f>B18</f>
        <v>786.8</v>
      </c>
      <c r="G18" s="155"/>
      <c r="H18" s="155"/>
    </row>
    <row r="19" spans="1:10" x14ac:dyDescent="0.2">
      <c r="A19" s="147" t="s">
        <v>267</v>
      </c>
      <c r="B19" s="147">
        <v>513.29999999999995</v>
      </c>
      <c r="D19" s="147"/>
      <c r="E19" s="159">
        <f>B19*(C50/H50)</f>
        <v>512.6633028053601</v>
      </c>
      <c r="F19" s="159"/>
      <c r="G19" s="159">
        <f>B19*(E50/H50)</f>
        <v>0.63999614383495607</v>
      </c>
      <c r="H19" s="155"/>
    </row>
    <row r="20" spans="1:10" x14ac:dyDescent="0.2">
      <c r="A20" s="147" t="s">
        <v>268</v>
      </c>
      <c r="B20" s="147">
        <v>25</v>
      </c>
      <c r="D20" s="147"/>
      <c r="E20" s="155"/>
      <c r="F20" s="155">
        <f>B20</f>
        <v>25</v>
      </c>
      <c r="G20" s="155"/>
      <c r="H20" s="155"/>
    </row>
    <row r="21" spans="1:10" x14ac:dyDescent="0.2">
      <c r="A21" s="147" t="s">
        <v>269</v>
      </c>
      <c r="B21" s="147">
        <v>192.5</v>
      </c>
      <c r="D21" s="147"/>
      <c r="E21" s="155">
        <f>B21</f>
        <v>192.5</v>
      </c>
      <c r="F21" s="155"/>
      <c r="G21" s="155"/>
      <c r="H21" s="155"/>
    </row>
    <row r="22" spans="1:10" x14ac:dyDescent="0.2">
      <c r="A22" s="147" t="s">
        <v>270</v>
      </c>
      <c r="B22" s="147">
        <v>141.19999999999999</v>
      </c>
      <c r="D22" s="147"/>
      <c r="E22" s="155"/>
      <c r="F22" s="155"/>
      <c r="G22" s="155">
        <f>B22</f>
        <v>141.19999999999999</v>
      </c>
      <c r="H22" s="155"/>
    </row>
    <row r="23" spans="1:10" x14ac:dyDescent="0.2">
      <c r="A23" s="147" t="s">
        <v>271</v>
      </c>
      <c r="B23" s="147">
        <v>237</v>
      </c>
      <c r="D23" s="147"/>
      <c r="E23" s="155"/>
      <c r="F23" s="155"/>
      <c r="G23" s="155"/>
      <c r="H23" s="155">
        <v>237</v>
      </c>
    </row>
    <row r="24" spans="1:10" x14ac:dyDescent="0.2">
      <c r="A24" s="147" t="s">
        <v>272</v>
      </c>
      <c r="B24" s="147">
        <v>43.6</v>
      </c>
      <c r="D24" s="147"/>
      <c r="E24" s="155"/>
      <c r="F24" s="155">
        <f>B24</f>
        <v>43.6</v>
      </c>
      <c r="G24" s="155"/>
      <c r="H24" s="155"/>
    </row>
    <row r="25" spans="1:10" x14ac:dyDescent="0.2">
      <c r="A25" s="147" t="s">
        <v>273</v>
      </c>
      <c r="B25" s="147">
        <v>5</v>
      </c>
      <c r="D25" s="147"/>
      <c r="E25" s="160">
        <f>B25*(C58/H58)</f>
        <v>0.17934500086640098</v>
      </c>
      <c r="F25" s="155"/>
      <c r="G25" s="160">
        <f>B25*(E58/H58)</f>
        <v>1.6227690175012996</v>
      </c>
      <c r="H25" s="160">
        <f>B25*(F58/H58)</f>
        <v>3.1978859816322998</v>
      </c>
    </row>
    <row r="26" spans="1:10" x14ac:dyDescent="0.2">
      <c r="A26" s="147" t="s">
        <v>274</v>
      </c>
      <c r="B26" s="147">
        <v>6580</v>
      </c>
      <c r="D26" s="147">
        <f>B26</f>
        <v>6580</v>
      </c>
      <c r="E26" s="155"/>
      <c r="F26" s="155"/>
      <c r="G26" s="155"/>
      <c r="H26" s="155"/>
    </row>
    <row r="27" spans="1:10" x14ac:dyDescent="0.2">
      <c r="A27" s="147" t="s">
        <v>275</v>
      </c>
      <c r="B27" s="147">
        <v>23.7</v>
      </c>
      <c r="D27" s="147"/>
      <c r="E27" s="155"/>
      <c r="F27" s="161">
        <f>B27*(D61/H61)</f>
        <v>1.0017511836175916</v>
      </c>
      <c r="G27" s="161"/>
      <c r="H27" s="161">
        <f>B27*(F61/H61)</f>
        <v>22.69824881638241</v>
      </c>
    </row>
    <row r="28" spans="1:10" x14ac:dyDescent="0.2">
      <c r="A28" s="147" t="s">
        <v>276</v>
      </c>
      <c r="B28" s="147">
        <v>121.2</v>
      </c>
      <c r="D28" s="147"/>
      <c r="E28" s="155"/>
      <c r="F28" s="155">
        <f>B28</f>
        <v>121.2</v>
      </c>
      <c r="G28" s="155"/>
      <c r="H28" s="155"/>
    </row>
    <row r="29" spans="1:10" x14ac:dyDescent="0.2">
      <c r="A29" s="147" t="s">
        <v>277</v>
      </c>
      <c r="B29" s="147">
        <v>1711.8</v>
      </c>
      <c r="D29" s="147"/>
      <c r="E29" s="155"/>
      <c r="F29" s="155">
        <f>B29</f>
        <v>1711.8</v>
      </c>
      <c r="G29" s="155"/>
      <c r="H29" s="155"/>
    </row>
    <row r="30" spans="1:10" x14ac:dyDescent="0.2">
      <c r="A30" s="147" t="s">
        <v>278</v>
      </c>
      <c r="B30" s="147">
        <v>21.4</v>
      </c>
      <c r="D30" s="147"/>
      <c r="E30" s="155"/>
      <c r="F30" s="161">
        <f>B30*(D64/H64)</f>
        <v>4.1022064306707025</v>
      </c>
      <c r="G30" s="161">
        <f>B30*(E64/H64)</f>
        <v>17.297793569329297</v>
      </c>
      <c r="H30" s="155"/>
    </row>
    <row r="31" spans="1:10" ht="36" customHeight="1" x14ac:dyDescent="0.2">
      <c r="A31" s="147" t="s">
        <v>279</v>
      </c>
      <c r="B31" s="147">
        <f>SUM(B15:B30)</f>
        <v>11588.5</v>
      </c>
      <c r="D31" s="147"/>
      <c r="E31" s="155"/>
      <c r="F31" s="155"/>
      <c r="G31" s="155"/>
      <c r="H31" s="155"/>
      <c r="I31" s="148" t="s">
        <v>281</v>
      </c>
    </row>
    <row r="32" spans="1:10" x14ac:dyDescent="0.2">
      <c r="D32" s="147">
        <f>SUM(D15:D31)</f>
        <v>6580</v>
      </c>
      <c r="E32" s="147">
        <f>SUM(E15:E31)</f>
        <v>942.34264780622652</v>
      </c>
      <c r="F32" s="179">
        <f>SUM(F15:F31)</f>
        <v>3344.6287586083472</v>
      </c>
      <c r="G32" s="147">
        <f>SUM(G15:G31)</f>
        <v>160.76055873066554</v>
      </c>
      <c r="H32" s="147">
        <f>SUM(H15:H31)</f>
        <v>560.77133380395571</v>
      </c>
      <c r="I32" s="162">
        <f>SUM(E32:H32)</f>
        <v>5008.5032989491947</v>
      </c>
      <c r="J32" s="162">
        <f>I33-I32</f>
        <v>331.49670105080531</v>
      </c>
    </row>
    <row r="33" spans="1:9" x14ac:dyDescent="0.2">
      <c r="D33" s="149" t="s">
        <v>282</v>
      </c>
      <c r="E33" s="147">
        <f>ROUND(E32/$I32*(11920-$D32),0)</f>
        <v>1005</v>
      </c>
      <c r="F33" s="147">
        <f>ROUND(F32/$I32*(11920-$D32),0)</f>
        <v>3566</v>
      </c>
      <c r="G33" s="147">
        <f t="shared" ref="G33:H33" si="2">ROUND(G32/$I32*(11920-$D32),0)</f>
        <v>171</v>
      </c>
      <c r="H33" s="147">
        <f t="shared" si="2"/>
        <v>598</v>
      </c>
      <c r="I33" s="147">
        <f>SUM(E33:H33)</f>
        <v>5340</v>
      </c>
    </row>
    <row r="34" spans="1:9" x14ac:dyDescent="0.2">
      <c r="D34" s="37"/>
    </row>
    <row r="35" spans="1:9" x14ac:dyDescent="0.2">
      <c r="D35" s="37"/>
    </row>
    <row r="36" spans="1:9" x14ac:dyDescent="0.2">
      <c r="D36" s="37"/>
    </row>
    <row r="37" spans="1:9" x14ac:dyDescent="0.2">
      <c r="A37" s="189" t="s">
        <v>292</v>
      </c>
      <c r="B37" s="189"/>
      <c r="C37" s="189"/>
      <c r="D37" s="189"/>
      <c r="E37" s="189"/>
      <c r="F37" s="189"/>
      <c r="G37" s="189"/>
      <c r="H37" s="189"/>
    </row>
    <row r="38" spans="1:9" x14ac:dyDescent="0.2">
      <c r="A38" s="189"/>
      <c r="B38" s="189"/>
      <c r="C38" s="189"/>
      <c r="D38" s="189"/>
      <c r="E38" s="189"/>
      <c r="F38" s="189"/>
      <c r="G38" s="189"/>
      <c r="H38" s="189"/>
    </row>
    <row r="39" spans="1:9" ht="19" x14ac:dyDescent="0.25">
      <c r="B39" s="190" t="s">
        <v>259</v>
      </c>
      <c r="C39" s="190"/>
      <c r="D39" s="190"/>
      <c r="E39" s="190"/>
      <c r="F39" s="190"/>
      <c r="G39" s="190"/>
      <c r="H39" s="190"/>
    </row>
    <row r="40" spans="1:9" ht="34" x14ac:dyDescent="0.2">
      <c r="B40" s="163" t="s">
        <v>293</v>
      </c>
      <c r="C40" s="163" t="s">
        <v>294</v>
      </c>
      <c r="D40" s="163" t="s">
        <v>295</v>
      </c>
      <c r="E40" s="156" t="s">
        <v>296</v>
      </c>
      <c r="F40" s="163" t="s">
        <v>297</v>
      </c>
      <c r="G40" s="163" t="s">
        <v>23</v>
      </c>
      <c r="H40" s="163" t="s">
        <v>283</v>
      </c>
    </row>
    <row r="41" spans="1:9" ht="19" x14ac:dyDescent="0.25">
      <c r="A41" s="175" t="s">
        <v>298</v>
      </c>
      <c r="E41" s="1"/>
      <c r="H41" s="37"/>
    </row>
    <row r="42" spans="1:9" x14ac:dyDescent="0.2">
      <c r="A42" t="s">
        <v>299</v>
      </c>
      <c r="F42">
        <v>142.6</v>
      </c>
      <c r="H42" s="37">
        <v>142.6</v>
      </c>
    </row>
    <row r="43" spans="1:9" ht="34" x14ac:dyDescent="0.2">
      <c r="A43" s="1" t="s">
        <v>300</v>
      </c>
      <c r="F43">
        <v>121.3</v>
      </c>
      <c r="H43" s="37">
        <v>121.3</v>
      </c>
    </row>
    <row r="44" spans="1:9" x14ac:dyDescent="0.2">
      <c r="A44" t="s">
        <v>301</v>
      </c>
      <c r="D44">
        <v>1708.5</v>
      </c>
      <c r="F44">
        <v>866.8</v>
      </c>
      <c r="H44" s="37">
        <v>2575.3000000000002</v>
      </c>
    </row>
    <row r="45" spans="1:9" ht="34" x14ac:dyDescent="0.2">
      <c r="A45" s="1" t="s">
        <v>264</v>
      </c>
      <c r="D45">
        <v>1094.3</v>
      </c>
      <c r="H45" s="37">
        <v>1094.3</v>
      </c>
    </row>
    <row r="46" spans="1:9" ht="34" x14ac:dyDescent="0.2">
      <c r="A46" s="1" t="s">
        <v>302</v>
      </c>
      <c r="F46">
        <v>5754.3</v>
      </c>
      <c r="H46" s="37">
        <v>5754.3</v>
      </c>
    </row>
    <row r="47" spans="1:9" x14ac:dyDescent="0.2">
      <c r="A47" t="s">
        <v>303</v>
      </c>
      <c r="F47">
        <v>675.3</v>
      </c>
      <c r="H47" s="37">
        <v>675.3</v>
      </c>
    </row>
    <row r="48" spans="1:9" x14ac:dyDescent="0.2">
      <c r="A48" t="s">
        <v>304</v>
      </c>
      <c r="C48">
        <v>857.3</v>
      </c>
      <c r="G48">
        <v>3</v>
      </c>
      <c r="H48" s="37">
        <v>860.4</v>
      </c>
    </row>
    <row r="49" spans="1:8" x14ac:dyDescent="0.2">
      <c r="A49" t="s">
        <v>305</v>
      </c>
      <c r="D49">
        <v>1505</v>
      </c>
      <c r="H49" s="37">
        <v>1505</v>
      </c>
    </row>
    <row r="50" spans="1:8" x14ac:dyDescent="0.2">
      <c r="A50" t="s">
        <v>306</v>
      </c>
      <c r="C50">
        <v>15540.2</v>
      </c>
      <c r="E50">
        <v>19.399999999999999</v>
      </c>
      <c r="H50" s="37">
        <v>15559.5</v>
      </c>
    </row>
    <row r="51" spans="1:8" x14ac:dyDescent="0.2">
      <c r="A51" t="s">
        <v>307</v>
      </c>
      <c r="D51">
        <v>121.9</v>
      </c>
      <c r="H51" s="37">
        <v>121.9</v>
      </c>
    </row>
    <row r="52" spans="1:8" x14ac:dyDescent="0.2">
      <c r="A52" t="s">
        <v>308</v>
      </c>
      <c r="C52">
        <v>7894.5</v>
      </c>
      <c r="H52" s="37">
        <v>7894.5</v>
      </c>
    </row>
    <row r="53" spans="1:8" ht="34" x14ac:dyDescent="0.2">
      <c r="A53" s="1" t="s">
        <v>309</v>
      </c>
      <c r="D53">
        <v>301.3</v>
      </c>
      <c r="H53" s="37">
        <v>301.3</v>
      </c>
    </row>
    <row r="54" spans="1:8" x14ac:dyDescent="0.2">
      <c r="A54" t="s">
        <v>310</v>
      </c>
      <c r="E54">
        <v>2976.1</v>
      </c>
      <c r="H54" s="37">
        <v>2976.1</v>
      </c>
    </row>
    <row r="55" spans="1:8" x14ac:dyDescent="0.2">
      <c r="A55" t="s">
        <v>311</v>
      </c>
      <c r="F55">
        <v>175.6</v>
      </c>
      <c r="G55">
        <v>6199</v>
      </c>
      <c r="H55" s="37">
        <v>6374.6</v>
      </c>
    </row>
    <row r="56" spans="1:8" x14ac:dyDescent="0.2">
      <c r="A56" t="s">
        <v>272</v>
      </c>
      <c r="D56">
        <v>553.9</v>
      </c>
      <c r="H56" s="37">
        <v>553.9</v>
      </c>
    </row>
    <row r="57" spans="1:8" ht="34" x14ac:dyDescent="0.2">
      <c r="A57" s="1" t="s">
        <v>312</v>
      </c>
      <c r="C57">
        <v>522.79999999999995</v>
      </c>
      <c r="H57" s="37">
        <v>522.79999999999995</v>
      </c>
    </row>
    <row r="58" spans="1:8" x14ac:dyDescent="0.2">
      <c r="A58" t="s">
        <v>313</v>
      </c>
      <c r="C58">
        <v>41.4</v>
      </c>
      <c r="E58">
        <v>374.6</v>
      </c>
      <c r="F58">
        <v>738.2</v>
      </c>
      <c r="H58" s="37">
        <v>1154.2</v>
      </c>
    </row>
    <row r="59" spans="1:8" ht="34" x14ac:dyDescent="0.2">
      <c r="A59" s="1" t="s">
        <v>314</v>
      </c>
      <c r="D59">
        <v>126.6</v>
      </c>
      <c r="H59" s="37">
        <v>126.6</v>
      </c>
    </row>
    <row r="60" spans="1:8" x14ac:dyDescent="0.2">
      <c r="A60" t="s">
        <v>315</v>
      </c>
      <c r="B60">
        <v>47077.599999999999</v>
      </c>
      <c r="E60">
        <v>36.299999999999997</v>
      </c>
      <c r="H60" s="37">
        <v>47113.9</v>
      </c>
    </row>
    <row r="61" spans="1:8" x14ac:dyDescent="0.2">
      <c r="A61" t="s">
        <v>316</v>
      </c>
      <c r="D61">
        <v>74.099999999999994</v>
      </c>
      <c r="F61">
        <v>1679</v>
      </c>
      <c r="H61" s="37">
        <v>1753.1</v>
      </c>
    </row>
    <row r="62" spans="1:8" x14ac:dyDescent="0.2">
      <c r="A62" t="s">
        <v>317</v>
      </c>
      <c r="D62">
        <v>215.7</v>
      </c>
      <c r="H62" s="37">
        <v>215.7</v>
      </c>
    </row>
    <row r="63" spans="1:8" x14ac:dyDescent="0.2">
      <c r="A63" t="s">
        <v>318</v>
      </c>
      <c r="D63">
        <v>1221.3</v>
      </c>
      <c r="H63" s="37">
        <v>1221.3</v>
      </c>
    </row>
    <row r="64" spans="1:8" x14ac:dyDescent="0.2">
      <c r="A64" t="s">
        <v>278</v>
      </c>
      <c r="D64">
        <v>874</v>
      </c>
      <c r="E64">
        <v>3685.4</v>
      </c>
      <c r="H64" s="37">
        <v>4559.3999999999996</v>
      </c>
    </row>
    <row r="65" spans="1:8" x14ac:dyDescent="0.2">
      <c r="H65" s="37"/>
    </row>
    <row r="66" spans="1:8" x14ac:dyDescent="0.2">
      <c r="A66" s="37" t="s">
        <v>283</v>
      </c>
      <c r="B66" s="37">
        <v>47077.599999999999</v>
      </c>
      <c r="C66" s="37">
        <v>24856.1</v>
      </c>
      <c r="D66" s="37">
        <v>7796.7</v>
      </c>
      <c r="E66" s="37">
        <v>7091.8</v>
      </c>
      <c r="F66" s="37">
        <v>10153.1</v>
      </c>
      <c r="G66" s="37">
        <v>6202</v>
      </c>
      <c r="H66" s="37">
        <v>103177.4</v>
      </c>
    </row>
    <row r="68" spans="1:8" x14ac:dyDescent="0.2">
      <c r="A68" t="s">
        <v>319</v>
      </c>
    </row>
    <row r="69" spans="1:8" x14ac:dyDescent="0.2">
      <c r="A69" t="s">
        <v>320</v>
      </c>
    </row>
  </sheetData>
  <mergeCells count="3">
    <mergeCell ref="D13:H13"/>
    <mergeCell ref="A37:H38"/>
    <mergeCell ref="B39:H39"/>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Q45"/>
  <sheetViews>
    <sheetView topLeftCell="A11" zoomScaleNormal="100" workbookViewId="0">
      <selection activeCell="Q34" sqref="Q34"/>
    </sheetView>
  </sheetViews>
  <sheetFormatPr baseColWidth="10" defaultRowHeight="16" x14ac:dyDescent="0.2"/>
  <cols>
    <col min="1" max="1" width="38.83203125" customWidth="1"/>
  </cols>
  <sheetData>
    <row r="1" spans="1:17" x14ac:dyDescent="0.2">
      <c r="A1" t="s">
        <v>61</v>
      </c>
      <c r="B1">
        <f>Consolidé!B1</f>
        <v>2006</v>
      </c>
      <c r="C1">
        <f>Consolidé!C1</f>
        <v>2007</v>
      </c>
      <c r="D1">
        <f>Consolidé!D1</f>
        <v>2008</v>
      </c>
      <c r="E1">
        <f>Consolidé!E1</f>
        <v>2009</v>
      </c>
      <c r="F1">
        <f>Consolidé!F1</f>
        <v>2010</v>
      </c>
      <c r="G1">
        <f>Consolidé!G1</f>
        <v>2011</v>
      </c>
      <c r="H1">
        <f>Consolidé!H1</f>
        <v>2012</v>
      </c>
      <c r="I1">
        <f>Consolidé!I1</f>
        <v>2013</v>
      </c>
      <c r="J1">
        <f>Consolidé!J1</f>
        <v>2014</v>
      </c>
      <c r="K1">
        <f>Consolidé!K1</f>
        <v>2015</v>
      </c>
      <c r="L1">
        <f>Consolidé!L1</f>
        <v>2016</v>
      </c>
      <c r="M1">
        <f>Consolidé!M1</f>
        <v>2017</v>
      </c>
      <c r="N1">
        <f>Consolidé!N1</f>
        <v>2018</v>
      </c>
      <c r="O1">
        <f>Consolidé!O1</f>
        <v>2019</v>
      </c>
      <c r="P1">
        <v>2020</v>
      </c>
      <c r="Q1">
        <v>2021</v>
      </c>
    </row>
    <row r="2" spans="1:17" x14ac:dyDescent="0.2">
      <c r="A2" t="s">
        <v>82</v>
      </c>
      <c r="B2">
        <f>Consolidé!B5</f>
        <v>17204</v>
      </c>
      <c r="C2">
        <f>Consolidé!C5</f>
        <v>19251</v>
      </c>
      <c r="D2">
        <f>Consolidé!D5</f>
        <v>19447</v>
      </c>
      <c r="E2">
        <f>Consolidé!E5</f>
        <v>18766</v>
      </c>
      <c r="F2">
        <f>Consolidé!F5</f>
        <v>18188</v>
      </c>
      <c r="G2">
        <f>Consolidé!G5</f>
        <v>19732</v>
      </c>
      <c r="H2">
        <f>Consolidé!H5</f>
        <v>21128</v>
      </c>
      <c r="I2">
        <f>Consolidé!I5</f>
        <v>21506</v>
      </c>
      <c r="J2">
        <f>Consolidé!J5</f>
        <v>22473</v>
      </c>
      <c r="K2">
        <f>Consolidé!K5</f>
        <v>23460</v>
      </c>
      <c r="L2">
        <f>Consolidé!L5</f>
        <v>24726</v>
      </c>
      <c r="M2">
        <f>Consolidé!M5</f>
        <v>25290</v>
      </c>
      <c r="N2">
        <f>Consolidé!N5</f>
        <v>25349</v>
      </c>
      <c r="O2">
        <f>Consolidé!O5</f>
        <v>27206</v>
      </c>
      <c r="P2" s="20">
        <f>Consolidé!P5</f>
        <v>28841</v>
      </c>
      <c r="Q2" s="20">
        <f>Consolidé!Q5</f>
        <v>29897</v>
      </c>
    </row>
    <row r="3" spans="1:17" x14ac:dyDescent="0.2">
      <c r="A3" t="s">
        <v>83</v>
      </c>
      <c r="B3">
        <f>Consolidé!B6</f>
        <v>2538</v>
      </c>
      <c r="C3">
        <f>Consolidé!C6</f>
        <v>2877</v>
      </c>
      <c r="D3">
        <f>Consolidé!D6</f>
        <v>2962</v>
      </c>
      <c r="E3">
        <f>Consolidé!E6</f>
        <v>3075</v>
      </c>
      <c r="F3">
        <f>Consolidé!F6</f>
        <v>3379</v>
      </c>
      <c r="G3">
        <f>Consolidé!G6</f>
        <v>3335</v>
      </c>
      <c r="H3">
        <f>Consolidé!H6</f>
        <v>3423</v>
      </c>
      <c r="I3">
        <f>Consolidé!I6</f>
        <v>3564</v>
      </c>
      <c r="J3">
        <f>Consolidé!J6</f>
        <v>3730</v>
      </c>
      <c r="K3">
        <f>Consolidé!K6</f>
        <v>4087</v>
      </c>
      <c r="L3">
        <f>Consolidé!L6</f>
        <v>4027</v>
      </c>
      <c r="M3">
        <f>Consolidé!M6</f>
        <v>3941</v>
      </c>
      <c r="N3">
        <f>Consolidé!N6</f>
        <v>4179</v>
      </c>
      <c r="O3">
        <f>Consolidé!O6</f>
        <v>4567</v>
      </c>
      <c r="P3" s="20">
        <f>Consolidé!P6</f>
        <v>4973</v>
      </c>
      <c r="Q3" s="20">
        <f>Consolidé!Q6</f>
        <v>5101</v>
      </c>
    </row>
    <row r="4" spans="1:17" x14ac:dyDescent="0.2">
      <c r="A4" t="s">
        <v>84</v>
      </c>
      <c r="B4">
        <f>Consolidé!B8</f>
        <v>4787</v>
      </c>
      <c r="C4">
        <f>Consolidé!C8</f>
        <v>4779</v>
      </c>
      <c r="D4">
        <f>Consolidé!D8</f>
        <v>4819</v>
      </c>
      <c r="E4">
        <f>Consolidé!E8</f>
        <v>4176</v>
      </c>
      <c r="F4">
        <f>Consolidé!F8</f>
        <v>3878</v>
      </c>
      <c r="G4">
        <f>Consolidé!G8</f>
        <v>3926</v>
      </c>
      <c r="H4">
        <f>Consolidé!H8</f>
        <v>4212</v>
      </c>
      <c r="I4">
        <f>Consolidé!I8</f>
        <v>4281</v>
      </c>
      <c r="J4">
        <f>Consolidé!J8</f>
        <v>3611</v>
      </c>
      <c r="K4">
        <f>Consolidé!K8</f>
        <v>3957</v>
      </c>
      <c r="L4">
        <f>Consolidé!L8</f>
        <v>5040</v>
      </c>
      <c r="M4">
        <f>Consolidé!M8</f>
        <v>5574</v>
      </c>
      <c r="N4">
        <f>Consolidé!N8</f>
        <v>6358</v>
      </c>
      <c r="O4">
        <f>Consolidé!O8</f>
        <v>7457</v>
      </c>
      <c r="P4" s="20">
        <f>Consolidé!P8</f>
        <v>6605</v>
      </c>
      <c r="Q4" s="20">
        <f>Consolidé!Q8</f>
        <v>6702</v>
      </c>
    </row>
    <row r="5" spans="1:17" x14ac:dyDescent="0.2">
      <c r="A5" t="s">
        <v>85</v>
      </c>
      <c r="B5">
        <f>Consolidé!B9</f>
        <v>1209</v>
      </c>
      <c r="C5">
        <f>Consolidé!C9</f>
        <v>1391</v>
      </c>
      <c r="D5">
        <f>Consolidé!D9</f>
        <v>1440</v>
      </c>
      <c r="E5">
        <f>Consolidé!E9</f>
        <v>1630</v>
      </c>
      <c r="F5">
        <f>Consolidé!F9</f>
        <v>1617</v>
      </c>
      <c r="G5">
        <f>Consolidé!G9</f>
        <v>1847</v>
      </c>
      <c r="H5">
        <f>Consolidé!H9</f>
        <v>1747</v>
      </c>
      <c r="I5">
        <f>Consolidé!I9</f>
        <v>1753</v>
      </c>
      <c r="J5">
        <f>Consolidé!J9</f>
        <v>2014</v>
      </c>
      <c r="K5">
        <f>Consolidé!K9</f>
        <v>1880</v>
      </c>
      <c r="L5">
        <f>Consolidé!L9</f>
        <v>1976</v>
      </c>
      <c r="M5">
        <f>Consolidé!M9</f>
        <v>1906</v>
      </c>
      <c r="N5">
        <f>Consolidé!N9</f>
        <v>1784</v>
      </c>
      <c r="O5">
        <f>Consolidé!O9</f>
        <v>1726</v>
      </c>
      <c r="P5" s="20">
        <f>Consolidé!P9</f>
        <v>2002</v>
      </c>
      <c r="Q5" s="20">
        <f>Consolidé!Q9</f>
        <v>2249</v>
      </c>
    </row>
    <row r="6" spans="1:17" x14ac:dyDescent="0.2">
      <c r="A6" t="s">
        <v>62</v>
      </c>
      <c r="B6">
        <f>Consolidé!B10</f>
        <v>5563</v>
      </c>
      <c r="C6">
        <f>Consolidé!C10</f>
        <v>5601</v>
      </c>
      <c r="D6">
        <f>Consolidé!D10</f>
        <v>5958</v>
      </c>
      <c r="E6">
        <f>Consolidé!E10</f>
        <v>6251</v>
      </c>
      <c r="F6">
        <f>Consolidé!F10</f>
        <v>5605</v>
      </c>
      <c r="G6">
        <f>Consolidé!G10</f>
        <v>6070</v>
      </c>
      <c r="H6">
        <f>Consolidé!H10</f>
        <v>6640</v>
      </c>
      <c r="I6">
        <f>Consolidé!I10</f>
        <v>6391</v>
      </c>
      <c r="J6">
        <f>Consolidé!J10</f>
        <v>6251</v>
      </c>
      <c r="K6">
        <f>Consolidé!K10</f>
        <v>6397</v>
      </c>
      <c r="L6">
        <f>Consolidé!L10</f>
        <v>6614</v>
      </c>
      <c r="M6">
        <f>Consolidé!M10</f>
        <v>5969</v>
      </c>
      <c r="N6">
        <f>Consolidé!N10</f>
        <v>6221</v>
      </c>
      <c r="O6">
        <f>Consolidé!O10</f>
        <v>6359</v>
      </c>
      <c r="P6" s="20">
        <f>Consolidé!P10</f>
        <v>6522</v>
      </c>
      <c r="Q6" s="20">
        <f>Consolidé!Q10</f>
        <v>6398</v>
      </c>
    </row>
    <row r="7" spans="1:17" x14ac:dyDescent="0.2">
      <c r="A7" t="s">
        <v>63</v>
      </c>
      <c r="B7">
        <f>Consolidé!B11</f>
        <v>0</v>
      </c>
      <c r="C7">
        <f>Consolidé!C11</f>
        <v>0</v>
      </c>
      <c r="D7">
        <f>Consolidé!D11</f>
        <v>0</v>
      </c>
      <c r="E7">
        <f>Consolidé!E11</f>
        <v>0</v>
      </c>
      <c r="F7">
        <f>Consolidé!F11</f>
        <v>1469</v>
      </c>
      <c r="G7">
        <f>Consolidé!G11</f>
        <v>1492</v>
      </c>
      <c r="H7">
        <f>Consolidé!H11</f>
        <v>1526</v>
      </c>
      <c r="I7">
        <f>Consolidé!I11</f>
        <v>1577</v>
      </c>
      <c r="J7">
        <f>Consolidé!J11</f>
        <v>1786</v>
      </c>
      <c r="K7">
        <f>Consolidé!K11</f>
        <v>1954</v>
      </c>
      <c r="L7">
        <f>Consolidé!L11</f>
        <v>2090</v>
      </c>
      <c r="M7">
        <f>Consolidé!M11</f>
        <v>2169</v>
      </c>
      <c r="N7">
        <f>Consolidé!N11</f>
        <v>2243</v>
      </c>
      <c r="O7">
        <f>Consolidé!O11</f>
        <v>1853</v>
      </c>
      <c r="P7" s="20">
        <f>Consolidé!P11</f>
        <v>1539</v>
      </c>
      <c r="Q7" s="20">
        <f>Consolidé!Q11</f>
        <v>1156</v>
      </c>
    </row>
    <row r="8" spans="1:17" x14ac:dyDescent="0.2">
      <c r="A8" t="s">
        <v>64</v>
      </c>
      <c r="B8">
        <f>Consolidé!B12</f>
        <v>11871</v>
      </c>
      <c r="C8">
        <f>Consolidé!C12</f>
        <v>12080</v>
      </c>
      <c r="D8">
        <f>Consolidé!D12</f>
        <v>12347</v>
      </c>
      <c r="E8">
        <f>Consolidé!E12</f>
        <v>12778</v>
      </c>
      <c r="F8">
        <f>Consolidé!F12</f>
        <v>12630</v>
      </c>
      <c r="G8">
        <f>Consolidé!G12</f>
        <v>13910</v>
      </c>
      <c r="H8">
        <f>Consolidé!H12</f>
        <v>15530</v>
      </c>
      <c r="I8">
        <f>Consolidé!I12</f>
        <v>16079</v>
      </c>
      <c r="J8">
        <f>Consolidé!J12</f>
        <v>17135</v>
      </c>
      <c r="K8">
        <f>Consolidé!K12</f>
        <v>17657</v>
      </c>
      <c r="L8">
        <f>Consolidé!L12</f>
        <v>18517</v>
      </c>
      <c r="M8">
        <f>Consolidé!M12</f>
        <v>19269</v>
      </c>
      <c r="N8">
        <f>Consolidé!N12</f>
        <v>20329</v>
      </c>
      <c r="O8">
        <f>Consolidé!O12</f>
        <v>21001</v>
      </c>
      <c r="P8" s="20">
        <f>Consolidé!P12</f>
        <v>21348</v>
      </c>
      <c r="Q8" s="20">
        <f>Consolidé!Q12</f>
        <v>21377</v>
      </c>
    </row>
    <row r="9" spans="1:17" x14ac:dyDescent="0.2">
      <c r="A9" t="s">
        <v>65</v>
      </c>
      <c r="B9">
        <f>Consolidé!B13</f>
        <v>1506</v>
      </c>
      <c r="C9">
        <f>Consolidé!C13</f>
        <v>1641</v>
      </c>
      <c r="D9">
        <f>Consolidé!D13</f>
        <v>1652</v>
      </c>
      <c r="E9">
        <f>Consolidé!E13</f>
        <v>1714</v>
      </c>
      <c r="F9">
        <f>Consolidé!F13</f>
        <v>1878</v>
      </c>
      <c r="G9">
        <f>Consolidé!G13</f>
        <v>2051</v>
      </c>
      <c r="H9">
        <f>Consolidé!H13</f>
        <v>2147</v>
      </c>
      <c r="I9">
        <f>Consolidé!I13</f>
        <v>2084</v>
      </c>
      <c r="J9">
        <f>Consolidé!J13</f>
        <v>2198</v>
      </c>
      <c r="K9">
        <f>Consolidé!K13</f>
        <v>2521</v>
      </c>
      <c r="L9">
        <f>Consolidé!L13</f>
        <v>3828</v>
      </c>
      <c r="M9">
        <f>Consolidé!M13</f>
        <v>3297</v>
      </c>
      <c r="N9">
        <f>Consolidé!N13</f>
        <v>3965</v>
      </c>
      <c r="O9">
        <f>Consolidé!O13</f>
        <v>4361</v>
      </c>
      <c r="P9" s="20">
        <f>Consolidé!P13</f>
        <v>4535</v>
      </c>
      <c r="Q9" s="20">
        <f>Consolidé!Q13</f>
        <v>4613</v>
      </c>
    </row>
    <row r="10" spans="1:17" x14ac:dyDescent="0.2">
      <c r="A10" t="s">
        <v>66</v>
      </c>
      <c r="B10">
        <f>Consolidé!B14</f>
        <v>4554</v>
      </c>
      <c r="C10">
        <f>Consolidé!C14</f>
        <v>6304</v>
      </c>
      <c r="D10">
        <f>Consolidé!D14</f>
        <v>5438</v>
      </c>
      <c r="E10">
        <f>Consolidé!E14</f>
        <v>5649</v>
      </c>
      <c r="F10">
        <f>Consolidé!F14</f>
        <v>5536</v>
      </c>
      <c r="G10">
        <f>Consolidé!G14</f>
        <v>5488</v>
      </c>
      <c r="H10">
        <f>Consolidé!H14</f>
        <v>5431</v>
      </c>
      <c r="I10">
        <f>Consolidé!I14</f>
        <v>3949</v>
      </c>
      <c r="J10">
        <f>Consolidé!J14</f>
        <v>6193</v>
      </c>
      <c r="K10">
        <f>Consolidé!K14</f>
        <v>6168</v>
      </c>
      <c r="L10">
        <f>Consolidé!L14</f>
        <v>5013</v>
      </c>
      <c r="M10">
        <f>Consolidé!M14</f>
        <v>4899</v>
      </c>
      <c r="N10">
        <f>Consolidé!N14</f>
        <v>5093</v>
      </c>
      <c r="O10">
        <f>Consolidé!O14</f>
        <v>5548</v>
      </c>
      <c r="P10" s="20">
        <f>Consolidé!P14</f>
        <v>4419</v>
      </c>
      <c r="Q10" s="20">
        <f>Consolidé!Q14</f>
        <v>4491</v>
      </c>
    </row>
    <row r="11" spans="1:17" x14ac:dyDescent="0.2">
      <c r="A11" t="s">
        <v>100</v>
      </c>
      <c r="B11">
        <f>Consolidé!B15</f>
        <v>3427</v>
      </c>
      <c r="C11">
        <f>Consolidé!C15</f>
        <v>3570</v>
      </c>
      <c r="D11">
        <f>Consolidé!D15</f>
        <v>4350</v>
      </c>
      <c r="E11">
        <f>Consolidé!E15</f>
        <v>4126</v>
      </c>
      <c r="F11">
        <f>Consolidé!F15</f>
        <v>7332</v>
      </c>
      <c r="G11">
        <f>Consolidé!G15</f>
        <v>7538</v>
      </c>
      <c r="H11">
        <f>Consolidé!H15</f>
        <v>7716</v>
      </c>
      <c r="I11">
        <f>Consolidé!I15</f>
        <v>9296</v>
      </c>
      <c r="J11">
        <f>Consolidé!J15</f>
        <v>9290</v>
      </c>
      <c r="K11">
        <f>Consolidé!K15</f>
        <v>9317</v>
      </c>
      <c r="L11">
        <f>Consolidé!L15</f>
        <v>9391</v>
      </c>
      <c r="M11">
        <f>Consolidé!M15</f>
        <v>10391</v>
      </c>
      <c r="N11">
        <f>Consolidé!N15</f>
        <v>10398</v>
      </c>
      <c r="O11">
        <f>Consolidé!O15</f>
        <v>11548</v>
      </c>
      <c r="P11" s="20">
        <f>Consolidé!P15</f>
        <v>10962</v>
      </c>
      <c r="Q11" s="20">
        <f>Consolidé!Q15</f>
        <v>9884</v>
      </c>
    </row>
    <row r="12" spans="1:17" x14ac:dyDescent="0.2">
      <c r="A12" t="s">
        <v>67</v>
      </c>
      <c r="B12">
        <f>Consolidé!B18</f>
        <v>4798</v>
      </c>
      <c r="C12">
        <f>Consolidé!C18</f>
        <v>5539</v>
      </c>
      <c r="D12">
        <f>Consolidé!D18</f>
        <v>7160</v>
      </c>
      <c r="E12">
        <f>Consolidé!E18</f>
        <v>8028</v>
      </c>
      <c r="F12">
        <f>Consolidé!F18</f>
        <v>8355</v>
      </c>
      <c r="G12">
        <f>Consolidé!G18</f>
        <v>8552</v>
      </c>
      <c r="H12">
        <f>Consolidé!H18</f>
        <v>7815</v>
      </c>
      <c r="I12">
        <f>Consolidé!I18</f>
        <v>7391</v>
      </c>
      <c r="J12">
        <f>Consolidé!J18</f>
        <v>7833</v>
      </c>
      <c r="K12">
        <f>Consolidé!K18</f>
        <v>9286</v>
      </c>
      <c r="L12">
        <f>Consolidé!L18</f>
        <v>9521</v>
      </c>
      <c r="M12">
        <f>Consolidé!M18</f>
        <v>10030</v>
      </c>
      <c r="N12">
        <f>Consolidé!N18</f>
        <v>11081</v>
      </c>
      <c r="O12">
        <f>Consolidé!O18</f>
        <v>11732</v>
      </c>
      <c r="P12" s="20">
        <f>Consolidé!P18</f>
        <v>13124</v>
      </c>
      <c r="Q12" s="20">
        <f>Consolidé!Q18</f>
        <v>13252</v>
      </c>
    </row>
    <row r="13" spans="1:17" x14ac:dyDescent="0.2">
      <c r="A13" t="s">
        <v>68</v>
      </c>
      <c r="B13">
        <f>Consolidé!B19</f>
        <v>3185</v>
      </c>
      <c r="C13">
        <f>Consolidé!C19</f>
        <v>3649</v>
      </c>
      <c r="D13">
        <f>Consolidé!D19</f>
        <v>3925</v>
      </c>
      <c r="E13">
        <f>Consolidé!E19</f>
        <v>3740</v>
      </c>
      <c r="F13">
        <f>Consolidé!F19</f>
        <v>4148</v>
      </c>
      <c r="G13">
        <f>Consolidé!G19</f>
        <v>4309</v>
      </c>
      <c r="H13">
        <f>Consolidé!H19</f>
        <v>4511</v>
      </c>
      <c r="I13">
        <f>Consolidé!I19</f>
        <v>4792</v>
      </c>
      <c r="J13">
        <f>Consolidé!J19</f>
        <v>5290</v>
      </c>
      <c r="K13">
        <f>Consolidé!K19</f>
        <v>5282</v>
      </c>
      <c r="L13">
        <f>Consolidé!L19</f>
        <v>5487</v>
      </c>
      <c r="M13">
        <f>Consolidé!M19</f>
        <v>5946</v>
      </c>
      <c r="N13">
        <f>Consolidé!N19</f>
        <v>6096</v>
      </c>
      <c r="O13">
        <f>Consolidé!O19</f>
        <v>6306</v>
      </c>
      <c r="P13" s="20">
        <f>Consolidé!P19</f>
        <v>6617</v>
      </c>
      <c r="Q13" s="20">
        <f>Consolidé!Q19</f>
        <v>6800</v>
      </c>
    </row>
    <row r="14" spans="1:17" x14ac:dyDescent="0.2">
      <c r="A14" t="s">
        <v>69</v>
      </c>
      <c r="B14">
        <f>Consolidé!B20</f>
        <v>3139</v>
      </c>
      <c r="C14">
        <f>Consolidé!C20</f>
        <v>2782</v>
      </c>
      <c r="D14">
        <f>Consolidé!D20</f>
        <v>3648</v>
      </c>
      <c r="E14">
        <f>Consolidé!E20</f>
        <v>3313</v>
      </c>
      <c r="F14">
        <f>Consolidé!F20</f>
        <v>4607</v>
      </c>
      <c r="G14">
        <f>Consolidé!G20</f>
        <v>4632</v>
      </c>
      <c r="H14">
        <f>Consolidé!H20</f>
        <v>4612</v>
      </c>
      <c r="I14">
        <f>Consolidé!I20</f>
        <v>5334</v>
      </c>
      <c r="J14">
        <f>Consolidé!J20</f>
        <v>5427</v>
      </c>
      <c r="K14">
        <f>Consolidé!K20</f>
        <v>3971</v>
      </c>
      <c r="L14">
        <f>Consolidé!L20</f>
        <v>3893</v>
      </c>
      <c r="M14">
        <f>Consolidé!M20</f>
        <v>4203</v>
      </c>
      <c r="N14">
        <f>Consolidé!N20</f>
        <v>5308</v>
      </c>
      <c r="O14">
        <f>Consolidé!O20</f>
        <v>5082</v>
      </c>
      <c r="P14" s="20">
        <f>Consolidé!P20</f>
        <v>5487</v>
      </c>
      <c r="Q14" s="20">
        <f>Consolidé!Q20</f>
        <v>6625</v>
      </c>
    </row>
    <row r="15" spans="1:17" x14ac:dyDescent="0.2">
      <c r="A15" t="s">
        <v>70</v>
      </c>
      <c r="B15">
        <f>Consolidé!B25</f>
        <v>22081</v>
      </c>
      <c r="C15">
        <f>Consolidé!C25</f>
        <v>23909</v>
      </c>
      <c r="D15">
        <f>Consolidé!D25</f>
        <v>25606</v>
      </c>
      <c r="E15">
        <f>Consolidé!E25</f>
        <v>26975</v>
      </c>
      <c r="F15">
        <f>Consolidé!F25</f>
        <v>29986</v>
      </c>
      <c r="G15">
        <f>Consolidé!G25</f>
        <v>31161</v>
      </c>
      <c r="H15">
        <f>Consolidé!H25</f>
        <v>32466</v>
      </c>
      <c r="I15">
        <f>Consolidé!I25</f>
        <v>34174</v>
      </c>
      <c r="J15">
        <f>Consolidé!J25</f>
        <v>35602</v>
      </c>
      <c r="K15">
        <f>Consolidé!K25</f>
        <v>36793</v>
      </c>
      <c r="L15">
        <f>Consolidé!L25</f>
        <v>37501</v>
      </c>
      <c r="M15">
        <f>Consolidé!M25</f>
        <v>38735</v>
      </c>
      <c r="N15">
        <f>Consolidé!N25</f>
        <v>40176</v>
      </c>
      <c r="O15">
        <f>Consolidé!O25</f>
        <v>41522</v>
      </c>
      <c r="P15" s="20">
        <f>Consolidé!P25</f>
        <v>43931</v>
      </c>
      <c r="Q15" s="20">
        <f>Consolidé!Q25</f>
        <v>46759</v>
      </c>
    </row>
    <row r="16" spans="1:17" x14ac:dyDescent="0.2">
      <c r="A16" t="s">
        <v>71</v>
      </c>
      <c r="B16">
        <f>Consolidé!B26</f>
        <v>13139</v>
      </c>
      <c r="C16">
        <f>Consolidé!C26</f>
        <v>13526</v>
      </c>
      <c r="D16">
        <f>Consolidé!D26</f>
        <v>14572</v>
      </c>
      <c r="E16">
        <f>Consolidé!E26</f>
        <v>14809</v>
      </c>
      <c r="F16">
        <f>Consolidé!F26</f>
        <v>17869</v>
      </c>
      <c r="G16">
        <f>Consolidé!G26</f>
        <v>18578</v>
      </c>
      <c r="H16">
        <f>Consolidé!H26</f>
        <v>19270</v>
      </c>
      <c r="I16">
        <f>Consolidé!I26</f>
        <v>19528</v>
      </c>
      <c r="J16">
        <f>Consolidé!J26</f>
        <v>20620</v>
      </c>
      <c r="K16">
        <f>Consolidé!K26</f>
        <v>20905</v>
      </c>
      <c r="L16">
        <f>Consolidé!L26</f>
        <v>20997</v>
      </c>
      <c r="M16">
        <f>Consolidé!M26</f>
        <v>21646</v>
      </c>
      <c r="N16">
        <f>Consolidé!N26</f>
        <v>22780</v>
      </c>
      <c r="O16">
        <f>Consolidé!O26</f>
        <v>23887</v>
      </c>
      <c r="P16" s="20">
        <f>Consolidé!P26</f>
        <v>25473</v>
      </c>
      <c r="Q16" s="20">
        <f>Consolidé!Q26</f>
        <v>25538</v>
      </c>
    </row>
    <row r="17" spans="1:17" x14ac:dyDescent="0.2">
      <c r="A17" t="s">
        <v>72</v>
      </c>
      <c r="B17">
        <f>Consolidé!B27</f>
        <v>7896</v>
      </c>
      <c r="C17">
        <f>Consolidé!C27</f>
        <v>8455</v>
      </c>
      <c r="D17">
        <f>Consolidé!D27</f>
        <v>9496</v>
      </c>
      <c r="E17">
        <f>Consolidé!E27</f>
        <v>10087</v>
      </c>
      <c r="F17">
        <f>Consolidé!F27</f>
        <v>10477</v>
      </c>
      <c r="G17">
        <f>Consolidé!G27</f>
        <v>11374</v>
      </c>
      <c r="H17">
        <f>Consolidé!H27</f>
        <v>11606</v>
      </c>
      <c r="I17">
        <f>Consolidé!I27</f>
        <v>11316</v>
      </c>
      <c r="J17">
        <f>Consolidé!J27</f>
        <v>11859</v>
      </c>
      <c r="K17">
        <f>Consolidé!K27</f>
        <v>11458</v>
      </c>
      <c r="L17">
        <f>Consolidé!L27</f>
        <v>11697</v>
      </c>
      <c r="M17">
        <f>Consolidé!M27</f>
        <v>12315</v>
      </c>
      <c r="N17">
        <f>Consolidé!N27</f>
        <v>14438</v>
      </c>
      <c r="O17">
        <f>Consolidé!O27</f>
        <v>14730</v>
      </c>
      <c r="P17" s="20">
        <f>Consolidé!P27</f>
        <v>17753</v>
      </c>
      <c r="Q17" s="20">
        <f>Consolidé!Q27</f>
        <v>14887</v>
      </c>
    </row>
    <row r="18" spans="1:17" x14ac:dyDescent="0.2">
      <c r="A18" t="s">
        <v>73</v>
      </c>
      <c r="B18">
        <f>Consolidé!B28</f>
        <v>7690</v>
      </c>
      <c r="C18">
        <f>Consolidé!C28</f>
        <v>8030</v>
      </c>
      <c r="D18">
        <f>Consolidé!D28</f>
        <v>8166</v>
      </c>
      <c r="E18">
        <f>Consolidé!E28</f>
        <v>8301</v>
      </c>
      <c r="F18">
        <f>Consolidé!F28</f>
        <v>8775</v>
      </c>
      <c r="G18">
        <f>Consolidé!G28</f>
        <v>8932</v>
      </c>
      <c r="H18">
        <f>Consolidé!H28</f>
        <v>9146</v>
      </c>
      <c r="I18">
        <f>Consolidé!I28</f>
        <v>9269</v>
      </c>
      <c r="J18">
        <f>Consolidé!J28</f>
        <v>9543</v>
      </c>
      <c r="K18">
        <f>Consolidé!K28</f>
        <v>9647</v>
      </c>
      <c r="L18">
        <f>Consolidé!L28</f>
        <v>9589</v>
      </c>
      <c r="M18">
        <f>Consolidé!M28</f>
        <v>9562</v>
      </c>
      <c r="N18">
        <f>Consolidé!N28</f>
        <v>9816</v>
      </c>
      <c r="O18">
        <f>Consolidé!O28</f>
        <v>10095</v>
      </c>
      <c r="P18" s="20">
        <f>Consolidé!P28</f>
        <v>10916</v>
      </c>
      <c r="Q18" s="20">
        <f>Consolidé!Q28</f>
        <v>10892</v>
      </c>
    </row>
    <row r="19" spans="1:17" x14ac:dyDescent="0.2">
      <c r="A19" t="s">
        <v>74</v>
      </c>
      <c r="B19">
        <f>Consolidé!B32</f>
        <v>5379</v>
      </c>
      <c r="C19">
        <f>Consolidé!C32</f>
        <v>5657</v>
      </c>
      <c r="D19">
        <f>Consolidé!D32</f>
        <v>5592</v>
      </c>
      <c r="E19">
        <f>Consolidé!E32</f>
        <v>6201</v>
      </c>
      <c r="F19">
        <f>Consolidé!F32</f>
        <v>6611</v>
      </c>
      <c r="G19">
        <f>Consolidé!G32</f>
        <v>6292</v>
      </c>
      <c r="H19">
        <f>Consolidé!H32</f>
        <v>6287</v>
      </c>
      <c r="I19">
        <f>Consolidé!I32</f>
        <v>6386</v>
      </c>
      <c r="J19">
        <f>Consolidé!J32</f>
        <v>6712</v>
      </c>
      <c r="K19">
        <f>Consolidé!K32</f>
        <v>6728</v>
      </c>
      <c r="L19">
        <f>Consolidé!L32</f>
        <v>6686</v>
      </c>
      <c r="M19">
        <f>Consolidé!M32</f>
        <v>6737</v>
      </c>
      <c r="N19">
        <f>Consolidé!N32</f>
        <v>7039</v>
      </c>
      <c r="O19">
        <f>Consolidé!O32</f>
        <v>7510</v>
      </c>
      <c r="P19" s="20">
        <f>Consolidé!P32</f>
        <v>9142</v>
      </c>
      <c r="Q19" s="20">
        <f>Consolidé!Q32</f>
        <v>9125</v>
      </c>
    </row>
    <row r="20" spans="1:17" x14ac:dyDescent="0.2">
      <c r="A20" t="s">
        <v>75</v>
      </c>
      <c r="B20">
        <f>Consolidé!B35</f>
        <v>7559</v>
      </c>
      <c r="C20">
        <f>Consolidé!C35</f>
        <v>7894</v>
      </c>
      <c r="D20">
        <f>Consolidé!D35</f>
        <v>8064</v>
      </c>
      <c r="E20">
        <f>Consolidé!E35</f>
        <v>8131</v>
      </c>
      <c r="F20">
        <f>Consolidé!F35</f>
        <v>7844</v>
      </c>
      <c r="G20">
        <f>Consolidé!G35</f>
        <v>8935</v>
      </c>
      <c r="H20">
        <f>Consolidé!H35</f>
        <v>9451</v>
      </c>
      <c r="I20">
        <f>Consolidé!I35</f>
        <v>9839</v>
      </c>
      <c r="J20">
        <f>Consolidé!J35</f>
        <v>10598</v>
      </c>
      <c r="K20">
        <f>Consolidé!K35</f>
        <v>10270</v>
      </c>
      <c r="L20">
        <f>Consolidé!L35</f>
        <v>10009</v>
      </c>
      <c r="M20">
        <f>Consolidé!M35</f>
        <v>9527</v>
      </c>
      <c r="N20">
        <f>Consolidé!N35</f>
        <v>9240</v>
      </c>
      <c r="O20">
        <f>Consolidé!O35</f>
        <v>8722</v>
      </c>
      <c r="P20" s="20">
        <f>Consolidé!P35</f>
        <v>7676</v>
      </c>
      <c r="Q20" s="20">
        <f>Consolidé!Q35</f>
        <v>7689</v>
      </c>
    </row>
    <row r="21" spans="1:17" x14ac:dyDescent="0.2">
      <c r="A21" t="s">
        <v>86</v>
      </c>
      <c r="B21">
        <f>Consolidé!B40</f>
        <v>0</v>
      </c>
      <c r="C21">
        <f>Consolidé!C40</f>
        <v>0</v>
      </c>
      <c r="D21">
        <f>Consolidé!D40</f>
        <v>584</v>
      </c>
      <c r="E21">
        <f>Consolidé!E40</f>
        <v>1233</v>
      </c>
      <c r="F21">
        <f>Consolidé!F40</f>
        <v>1952</v>
      </c>
      <c r="G21">
        <f>Consolidé!G40</f>
        <v>2677</v>
      </c>
      <c r="H21">
        <f>Consolidé!H40</f>
        <v>3437</v>
      </c>
      <c r="I21">
        <f>Consolidé!I40</f>
        <v>4277</v>
      </c>
      <c r="J21">
        <f>Consolidé!J40</f>
        <v>5238</v>
      </c>
      <c r="K21">
        <f>Consolidé!K40</f>
        <v>5659</v>
      </c>
      <c r="L21">
        <f>Consolidé!L40</f>
        <v>6938</v>
      </c>
      <c r="M21">
        <f>Consolidé!M40</f>
        <v>8522</v>
      </c>
      <c r="N21">
        <f>Consolidé!N40</f>
        <v>10523</v>
      </c>
      <c r="O21">
        <f>Consolidé!O40</f>
        <v>12816</v>
      </c>
      <c r="P21" s="20">
        <f>Consolidé!P40</f>
        <v>8293</v>
      </c>
      <c r="Q21" s="20">
        <f>Consolidé!Q40</f>
        <v>8899</v>
      </c>
    </row>
    <row r="22" spans="1:17" x14ac:dyDescent="0.2">
      <c r="A22" t="s">
        <v>87</v>
      </c>
      <c r="B22">
        <f>Consolidé!B42</f>
        <v>0</v>
      </c>
      <c r="C22">
        <f>Consolidé!C42</f>
        <v>581</v>
      </c>
      <c r="D22">
        <f>Consolidé!D42</f>
        <v>413</v>
      </c>
      <c r="E22">
        <f>Consolidé!E42</f>
        <v>637</v>
      </c>
      <c r="F22">
        <f>Consolidé!F42</f>
        <v>665</v>
      </c>
      <c r="G22">
        <f>Consolidé!G42</f>
        <v>666</v>
      </c>
      <c r="H22">
        <f>Consolidé!H42</f>
        <v>691</v>
      </c>
      <c r="I22">
        <f>Consolidé!I42</f>
        <v>729</v>
      </c>
      <c r="J22">
        <f>Consolidé!J42</f>
        <v>782</v>
      </c>
      <c r="K22">
        <f>Consolidé!K42</f>
        <v>964</v>
      </c>
      <c r="L22">
        <f>Consolidé!L42</f>
        <v>1155</v>
      </c>
      <c r="M22">
        <f>Consolidé!M42</f>
        <v>1579</v>
      </c>
      <c r="N22">
        <f>Consolidé!N42</f>
        <v>1881</v>
      </c>
      <c r="O22">
        <f>Consolidé!O42</f>
        <v>2083</v>
      </c>
      <c r="P22">
        <f>Consolidé!P42</f>
        <v>2142</v>
      </c>
      <c r="Q22">
        <f>Consolidé!Q42</f>
        <v>2325</v>
      </c>
    </row>
    <row r="23" spans="1:17" x14ac:dyDescent="0.2">
      <c r="A23" t="s">
        <v>88</v>
      </c>
      <c r="B23">
        <f>Consolidé!B43</f>
        <v>0</v>
      </c>
      <c r="C23">
        <f>Consolidé!C43</f>
        <v>3</v>
      </c>
      <c r="D23">
        <f>Consolidé!D43</f>
        <v>36</v>
      </c>
      <c r="E23">
        <f>Consolidé!E43</f>
        <v>-50</v>
      </c>
      <c r="F23">
        <f>Consolidé!F43</f>
        <v>60</v>
      </c>
      <c r="G23">
        <f>Consolidé!G43</f>
        <v>94</v>
      </c>
      <c r="H23">
        <f>Consolidé!H43</f>
        <v>149</v>
      </c>
      <c r="I23">
        <f>Consolidé!I43</f>
        <v>232</v>
      </c>
      <c r="J23">
        <f>Consolidé!J43</f>
        <v>339</v>
      </c>
      <c r="K23">
        <f>Consolidé!K43</f>
        <v>315</v>
      </c>
      <c r="L23">
        <f>Consolidé!L43</f>
        <v>298</v>
      </c>
      <c r="M23">
        <f>Consolidé!M43</f>
        <v>422</v>
      </c>
      <c r="N23">
        <f>Consolidé!N43</f>
        <v>412</v>
      </c>
      <c r="O23">
        <f>Consolidé!O43</f>
        <v>1394</v>
      </c>
      <c r="P23">
        <f>Consolidé!P43</f>
        <v>464</v>
      </c>
      <c r="Q23">
        <f>Consolidé!Q43</f>
        <v>689</v>
      </c>
    </row>
    <row r="24" spans="1:17" x14ac:dyDescent="0.2">
      <c r="A24" t="s">
        <v>89</v>
      </c>
      <c r="B24">
        <f>Consolidé!B47</f>
        <v>0</v>
      </c>
      <c r="C24">
        <f>Consolidé!C47</f>
        <v>0</v>
      </c>
      <c r="D24">
        <f>Consolidé!D47</f>
        <v>0</v>
      </c>
      <c r="E24">
        <f>Consolidé!E47</f>
        <v>0</v>
      </c>
      <c r="F24">
        <f>Consolidé!F47</f>
        <v>0</v>
      </c>
      <c r="G24">
        <f>Consolidé!G47</f>
        <v>0</v>
      </c>
      <c r="H24">
        <f>Consolidé!H47</f>
        <v>0</v>
      </c>
      <c r="I24">
        <f>Consolidé!I47</f>
        <v>0</v>
      </c>
      <c r="J24">
        <f>Consolidé!J47</f>
        <v>1000</v>
      </c>
      <c r="K24">
        <f>Consolidé!K47</f>
        <v>0</v>
      </c>
      <c r="L24">
        <f>Consolidé!L47</f>
        <v>0</v>
      </c>
      <c r="M24">
        <f>Consolidé!M47</f>
        <v>0</v>
      </c>
      <c r="N24">
        <f>Consolidé!N47</f>
        <v>0</v>
      </c>
      <c r="O24">
        <f>Consolidé!O47</f>
        <v>8000</v>
      </c>
      <c r="P24">
        <f>Consolidé!P47</f>
        <v>2000</v>
      </c>
      <c r="Q24">
        <f>Consolidé!Q47</f>
        <v>0</v>
      </c>
    </row>
    <row r="25" spans="1:17" x14ac:dyDescent="0.2">
      <c r="A25" t="s">
        <v>90</v>
      </c>
      <c r="B25">
        <f>Consolidé!B49</f>
        <v>0</v>
      </c>
      <c r="C25">
        <f>Consolidé!C49</f>
        <v>584</v>
      </c>
      <c r="D25">
        <f>Consolidé!D49</f>
        <v>1233</v>
      </c>
      <c r="E25">
        <f>Consolidé!E49</f>
        <v>1952</v>
      </c>
      <c r="F25">
        <f>Consolidé!F49</f>
        <v>2677</v>
      </c>
      <c r="G25">
        <f>Consolidé!G49</f>
        <v>3437</v>
      </c>
      <c r="H25">
        <f>Consolidé!H49</f>
        <v>4277</v>
      </c>
      <c r="I25">
        <f>Consolidé!I49</f>
        <v>5238</v>
      </c>
      <c r="J25">
        <f>Consolidé!J49</f>
        <v>5659</v>
      </c>
      <c r="K25">
        <f>Consolidé!K49</f>
        <v>6938</v>
      </c>
      <c r="L25">
        <f>Consolidé!L49</f>
        <v>8522</v>
      </c>
      <c r="M25">
        <f>Consolidé!M49</f>
        <v>10523</v>
      </c>
      <c r="N25">
        <f>Consolidé!N49</f>
        <v>12816</v>
      </c>
      <c r="O25">
        <f>Consolidé!O49</f>
        <v>8293</v>
      </c>
      <c r="P25">
        <f>Consolidé!P49</f>
        <v>8899</v>
      </c>
      <c r="Q25">
        <f>Consolidé!Q49</f>
        <v>11913</v>
      </c>
    </row>
    <row r="26" spans="1:17" x14ac:dyDescent="0.2">
      <c r="A26" t="s">
        <v>97</v>
      </c>
      <c r="B26">
        <f>Consolidé!B51</f>
        <v>0</v>
      </c>
      <c r="C26">
        <f>Consolidé!C51</f>
        <v>0</v>
      </c>
      <c r="D26">
        <f>Consolidé!D51</f>
        <v>0</v>
      </c>
      <c r="E26">
        <f>Consolidé!E51</f>
        <v>2301</v>
      </c>
      <c r="F26">
        <f>Consolidé!F51</f>
        <v>433</v>
      </c>
      <c r="G26">
        <f>Consolidé!G51</f>
        <v>0</v>
      </c>
      <c r="H26">
        <f>Consolidé!H51</f>
        <v>0</v>
      </c>
      <c r="I26">
        <f>Consolidé!I51</f>
        <v>0</v>
      </c>
      <c r="J26">
        <f>Consolidé!J51</f>
        <v>0</v>
      </c>
      <c r="K26">
        <f>Consolidé!K51</f>
        <v>0</v>
      </c>
      <c r="L26">
        <f>Consolidé!L51</f>
        <v>0</v>
      </c>
      <c r="M26">
        <f>Consolidé!M51</f>
        <v>2191</v>
      </c>
      <c r="N26">
        <f>Consolidé!N51</f>
        <v>4552</v>
      </c>
      <c r="O26">
        <f>Consolidé!O51</f>
        <v>7174</v>
      </c>
      <c r="P26" s="20">
        <f>Consolidé!P51</f>
        <v>11977</v>
      </c>
      <c r="Q26" s="20">
        <f>Consolidé!Q51</f>
        <v>11981</v>
      </c>
    </row>
    <row r="27" spans="1:17" x14ac:dyDescent="0.2">
      <c r="A27" t="s">
        <v>91</v>
      </c>
      <c r="B27">
        <f>Consolidé!B52</f>
        <v>0</v>
      </c>
      <c r="C27">
        <f>Consolidé!C52</f>
        <v>0</v>
      </c>
      <c r="D27">
        <f>Consolidé!D52</f>
        <v>0</v>
      </c>
      <c r="E27">
        <f>Consolidé!E52</f>
        <v>1845</v>
      </c>
      <c r="F27">
        <f>Consolidé!F52</f>
        <v>433</v>
      </c>
      <c r="G27">
        <f>Consolidé!G52</f>
        <v>0</v>
      </c>
      <c r="H27">
        <f>Consolidé!H52</f>
        <v>0</v>
      </c>
      <c r="I27">
        <f>Consolidé!I52</f>
        <v>0</v>
      </c>
      <c r="J27">
        <f>Consolidé!J52</f>
        <v>0</v>
      </c>
      <c r="K27">
        <f>Consolidé!K52</f>
        <v>0</v>
      </c>
      <c r="L27">
        <f>Consolidé!L52</f>
        <v>0</v>
      </c>
      <c r="M27">
        <f>Consolidé!M52</f>
        <v>0</v>
      </c>
      <c r="N27">
        <f>Consolidé!N52</f>
        <v>0</v>
      </c>
      <c r="O27">
        <f>Consolidé!O52</f>
        <v>0</v>
      </c>
      <c r="P27">
        <f>Consolidé!P52</f>
        <v>0</v>
      </c>
      <c r="Q27">
        <f>Consolidé!Q52</f>
        <v>8760</v>
      </c>
    </row>
    <row r="28" spans="1:17" x14ac:dyDescent="0.2">
      <c r="A28" t="s">
        <v>76</v>
      </c>
      <c r="B28">
        <f>Consolidé!B53</f>
        <v>0</v>
      </c>
      <c r="C28">
        <f>Consolidé!C53</f>
        <v>0</v>
      </c>
      <c r="D28">
        <f>Consolidé!D53</f>
        <v>0</v>
      </c>
      <c r="E28">
        <f>Consolidé!E53</f>
        <v>0</v>
      </c>
      <c r="F28">
        <f>Consolidé!F53</f>
        <v>-3174</v>
      </c>
      <c r="G28">
        <f>Consolidé!G53</f>
        <v>-3150</v>
      </c>
      <c r="H28">
        <f>Consolidé!H53</f>
        <v>-2628</v>
      </c>
      <c r="I28">
        <f>Consolidé!I53</f>
        <v>-1600</v>
      </c>
      <c r="J28">
        <f>Consolidé!J53</f>
        <v>-2824</v>
      </c>
      <c r="K28">
        <f>Consolidé!K53</f>
        <v>-1143</v>
      </c>
      <c r="L28">
        <f>Consolidé!L53</f>
        <v>2191</v>
      </c>
      <c r="M28">
        <f>Consolidé!M53</f>
        <v>2361</v>
      </c>
      <c r="N28">
        <f>Consolidé!N53</f>
        <v>2622</v>
      </c>
      <c r="O28">
        <f>Consolidé!O53</f>
        <v>4803</v>
      </c>
      <c r="P28" s="20">
        <f>Consolidé!P53</f>
        <v>-523</v>
      </c>
      <c r="Q28" s="20">
        <f>Consolidé!Q53</f>
        <v>1520</v>
      </c>
    </row>
    <row r="29" spans="1:17" x14ac:dyDescent="0.2">
      <c r="A29" t="s">
        <v>92</v>
      </c>
      <c r="B29">
        <f>Consolidé!B55</f>
        <v>0</v>
      </c>
      <c r="C29">
        <f>Consolidé!C55</f>
        <v>0</v>
      </c>
      <c r="D29">
        <f>Consolidé!D55</f>
        <v>0</v>
      </c>
      <c r="E29">
        <f>Consolidé!E55</f>
        <v>-23</v>
      </c>
      <c r="F29">
        <f>Consolidé!F55</f>
        <v>0</v>
      </c>
      <c r="G29">
        <f>Consolidé!G55</f>
        <v>0</v>
      </c>
      <c r="H29">
        <f>Consolidé!H55</f>
        <v>0</v>
      </c>
      <c r="I29">
        <f>Consolidé!I55</f>
        <v>0</v>
      </c>
      <c r="J29">
        <f>Consolidé!J55</f>
        <v>0</v>
      </c>
      <c r="K29">
        <f>Consolidé!K55</f>
        <v>0</v>
      </c>
      <c r="L29">
        <f>Consolidé!L55</f>
        <v>2191</v>
      </c>
      <c r="M29">
        <f>Consolidé!M55</f>
        <v>2361</v>
      </c>
      <c r="N29">
        <f>Consolidé!N55</f>
        <v>2622</v>
      </c>
      <c r="O29">
        <f>Consolidé!O55</f>
        <v>4803</v>
      </c>
      <c r="P29">
        <f>Consolidé!P55</f>
        <v>0</v>
      </c>
      <c r="Q29">
        <f>Consolidé!Q55</f>
        <v>11</v>
      </c>
    </row>
    <row r="30" spans="1:17" x14ac:dyDescent="0.2">
      <c r="A30" t="s">
        <v>93</v>
      </c>
      <c r="B30">
        <f>Consolidé!B56</f>
        <v>950</v>
      </c>
      <c r="C30">
        <f>Consolidé!C56</f>
        <v>1300</v>
      </c>
      <c r="D30">
        <f>Consolidé!D56</f>
        <v>1817</v>
      </c>
      <c r="E30">
        <f>Consolidé!E56</f>
        <v>433</v>
      </c>
      <c r="F30">
        <f>Consolidé!F56</f>
        <v>0</v>
      </c>
      <c r="G30">
        <f>Consolidé!G56</f>
        <v>0</v>
      </c>
      <c r="H30">
        <f>Consolidé!H56</f>
        <v>0</v>
      </c>
      <c r="I30">
        <f>Consolidé!I56</f>
        <v>0</v>
      </c>
      <c r="J30">
        <f>Consolidé!J56</f>
        <v>0</v>
      </c>
      <c r="K30">
        <f>Consolidé!K56</f>
        <v>0</v>
      </c>
      <c r="L30">
        <f>Consolidé!L56</f>
        <v>2191</v>
      </c>
      <c r="M30">
        <f>Consolidé!M56</f>
        <v>4552</v>
      </c>
      <c r="N30">
        <f>Consolidé!N56</f>
        <v>7174</v>
      </c>
      <c r="O30">
        <f>Consolidé!O56</f>
        <v>11977</v>
      </c>
      <c r="P30" s="20">
        <f>Consolidé!P56</f>
        <v>11977</v>
      </c>
      <c r="Q30" s="20">
        <f>Consolidé!Q56</f>
        <v>3232</v>
      </c>
    </row>
    <row r="31" spans="1:17" x14ac:dyDescent="0.2">
      <c r="A31" t="s">
        <v>94</v>
      </c>
      <c r="C31">
        <f>Consolidé!C58-Consolidé!B77</f>
        <v>88582</v>
      </c>
      <c r="D31">
        <f>Consolidé!D58-Consolidé!C77</f>
        <v>110437</v>
      </c>
      <c r="E31">
        <f>Consolidé!E58-Consolidé!D77</f>
        <v>118089</v>
      </c>
      <c r="F31">
        <f>Consolidé!F58-Consolidé!E77</f>
        <v>133224</v>
      </c>
      <c r="G31">
        <f>Consolidé!G58-Consolidé!F77</f>
        <v>136074</v>
      </c>
      <c r="H31">
        <f>Consolidé!H58-Consolidé!G77</f>
        <v>147748</v>
      </c>
      <c r="I31">
        <f>Consolidé!I58-Consolidé!H77</f>
        <v>158887</v>
      </c>
      <c r="J31">
        <f>Consolidé!J58-Consolidé!I77</f>
        <v>168612</v>
      </c>
      <c r="K31">
        <f>Consolidé!K58-Consolidé!J77</f>
        <v>174085</v>
      </c>
      <c r="L31">
        <f>Consolidé!L58-Consolidé!K77</f>
        <v>182723</v>
      </c>
      <c r="M31">
        <f>Consolidé!M58-Consolidé!L77</f>
        <v>185124</v>
      </c>
      <c r="N31">
        <f>Consolidé!N58-Consolidé!M77</f>
        <v>189366</v>
      </c>
      <c r="O31">
        <f>Consolidé!O58-Consolidé!N77</f>
        <v>191984</v>
      </c>
      <c r="P31">
        <f>Consolidé!P58-Consolidé!O77</f>
        <v>189029</v>
      </c>
      <c r="Q31">
        <f>Consolidé!Q58-Consolidé!P77</f>
        <v>192975</v>
      </c>
    </row>
    <row r="32" spans="1:17" x14ac:dyDescent="0.2">
      <c r="A32" t="s">
        <v>95</v>
      </c>
      <c r="B32">
        <f>Consolidé!B60</f>
        <v>0</v>
      </c>
      <c r="C32">
        <f>Consolidé!C60</f>
        <v>0</v>
      </c>
      <c r="D32">
        <f>Consolidé!D60</f>
        <v>0</v>
      </c>
      <c r="E32">
        <f>Consolidé!E60</f>
        <v>0</v>
      </c>
      <c r="F32">
        <f>Consolidé!F60</f>
        <v>0</v>
      </c>
      <c r="G32">
        <f>Consolidé!G60</f>
        <v>0</v>
      </c>
      <c r="H32">
        <f>Consolidé!H60</f>
        <v>0</v>
      </c>
      <c r="I32">
        <f>Consolidé!I60</f>
        <v>0</v>
      </c>
      <c r="J32">
        <f>Consolidé!J60</f>
        <v>1000</v>
      </c>
      <c r="K32">
        <f>Consolidé!K60</f>
        <v>0</v>
      </c>
      <c r="L32">
        <f>Consolidé!L60</f>
        <v>0</v>
      </c>
      <c r="M32">
        <f>Consolidé!M60</f>
        <v>0</v>
      </c>
      <c r="N32">
        <f>Consolidé!N60</f>
        <v>0</v>
      </c>
      <c r="O32">
        <f>Consolidé!O60</f>
        <v>8000</v>
      </c>
      <c r="P32">
        <f>Consolidé!P60</f>
        <v>2000</v>
      </c>
      <c r="Q32">
        <f>Consolidé!Q60</f>
        <v>0</v>
      </c>
    </row>
    <row r="33" spans="1:17" x14ac:dyDescent="0.2">
      <c r="A33" t="s">
        <v>96</v>
      </c>
      <c r="B33">
        <f>Consolidé!B72-Consolidé!B77</f>
        <v>88582</v>
      </c>
      <c r="C33">
        <f>Consolidé!C72-Consolidé!C77</f>
        <v>108585</v>
      </c>
      <c r="D33">
        <f>Consolidé!D72-Consolidé!D77</f>
        <v>118089</v>
      </c>
      <c r="E33">
        <f>Consolidé!E72-Consolidé!E77</f>
        <v>133224</v>
      </c>
      <c r="F33">
        <f>Consolidé!F72-Consolidé!F77</f>
        <v>136074</v>
      </c>
      <c r="G33">
        <f>Consolidé!G72-Consolidé!G77</f>
        <v>147748</v>
      </c>
      <c r="H33">
        <f>Consolidé!H72-Consolidé!H77</f>
        <v>158887</v>
      </c>
      <c r="I33">
        <f>Consolidé!I72-Consolidé!I77</f>
        <v>168616</v>
      </c>
      <c r="J33">
        <f>Consolidé!J72-Consolidé!J77</f>
        <v>174085</v>
      </c>
      <c r="K33">
        <f>Consolidé!K72-Consolidé!K77</f>
        <v>182723</v>
      </c>
      <c r="L33">
        <f>Consolidé!L72-Consolidé!L77</f>
        <v>185124</v>
      </c>
      <c r="M33">
        <f>Consolidé!M72-Consolidé!M77</f>
        <v>189366</v>
      </c>
      <c r="N33">
        <f>Consolidé!N72-Consolidé!N77</f>
        <v>191984</v>
      </c>
      <c r="O33">
        <f>Consolidé!O72-Consolidé!O77</f>
        <v>189029</v>
      </c>
      <c r="P33" s="20">
        <f>Consolidé!P72-Consolidé!P77</f>
        <v>192975</v>
      </c>
      <c r="Q33" s="20">
        <f>Consolidé!Q72-Consolidé!Q77</f>
        <v>218583</v>
      </c>
    </row>
    <row r="34" spans="1:17" x14ac:dyDescent="0.2">
      <c r="A34" t="s">
        <v>77</v>
      </c>
      <c r="B34">
        <f>Consolidé!B77</f>
        <v>3429</v>
      </c>
      <c r="C34">
        <f>Consolidé!C77</f>
        <v>6100</v>
      </c>
      <c r="D34">
        <f>Consolidé!D77</f>
        <v>2438</v>
      </c>
      <c r="E34">
        <f>Consolidé!E77</f>
        <v>0</v>
      </c>
      <c r="F34">
        <f>Consolidé!F77</f>
        <v>4980</v>
      </c>
      <c r="G34">
        <f>Consolidé!G77</f>
        <v>5881</v>
      </c>
      <c r="H34">
        <f>Consolidé!H77</f>
        <v>5799</v>
      </c>
      <c r="I34">
        <f>Consolidé!I77</f>
        <v>4964</v>
      </c>
      <c r="J34">
        <f>Consolidé!J77</f>
        <v>6947</v>
      </c>
      <c r="K34">
        <f>Consolidé!K77</f>
        <v>10027</v>
      </c>
      <c r="L34">
        <f>Consolidé!L77</f>
        <v>8821</v>
      </c>
      <c r="M34">
        <f>Consolidé!M77</f>
        <v>8190</v>
      </c>
      <c r="N34">
        <f>Consolidé!N77</f>
        <v>9965</v>
      </c>
      <c r="O34">
        <f>Consolidé!O77</f>
        <v>6159</v>
      </c>
      <c r="P34" s="20">
        <f>Consolidé!P77</f>
        <v>7988</v>
      </c>
      <c r="Q34" s="20">
        <f>Consolidé!Q77</f>
        <v>4292</v>
      </c>
    </row>
    <row r="35" spans="1:17" x14ac:dyDescent="0.2">
      <c r="A35" t="s">
        <v>78</v>
      </c>
      <c r="B35">
        <f>Consolidé!B79</f>
        <v>125764</v>
      </c>
      <c r="C35">
        <f>Consolidé!C79</f>
        <v>141597</v>
      </c>
      <c r="D35">
        <f>Consolidé!D79</f>
        <v>148015</v>
      </c>
      <c r="E35">
        <f>Consolidé!E79</f>
        <v>159980</v>
      </c>
      <c r="F35">
        <f>Consolidé!F79</f>
        <v>163318</v>
      </c>
      <c r="G35">
        <f>Consolidé!G79</f>
        <v>173436</v>
      </c>
      <c r="H35">
        <f>Consolidé!H79</f>
        <v>183384</v>
      </c>
      <c r="I35">
        <f>Consolidé!I79</f>
        <v>191756</v>
      </c>
      <c r="J35">
        <f>Consolidé!J79</f>
        <v>197098</v>
      </c>
      <c r="K35">
        <f>Consolidé!K79</f>
        <v>203957</v>
      </c>
      <c r="L35">
        <f>Consolidé!L79</f>
        <v>203347</v>
      </c>
      <c r="M35">
        <f>Consolidé!M79</f>
        <v>203490</v>
      </c>
      <c r="N35">
        <f>Consolidé!N79</f>
        <v>201071</v>
      </c>
      <c r="O35">
        <f>Consolidé!O79</f>
        <v>199098</v>
      </c>
      <c r="P35" s="20">
        <f>Consolidé!P79</f>
        <v>198792</v>
      </c>
      <c r="Q35" s="20">
        <f>Consolidé!Q79</f>
        <v>218957</v>
      </c>
    </row>
    <row r="36" spans="1:17" x14ac:dyDescent="0.2">
      <c r="A36" t="s">
        <v>98</v>
      </c>
      <c r="B36" s="20">
        <f>gdp!D4</f>
        <v>271844.35797665367</v>
      </c>
      <c r="C36" s="20">
        <f>gdp!E4</f>
        <v>282236.328125</v>
      </c>
      <c r="D36" s="20">
        <f>gdp!F4</f>
        <v>296081.34920634923</v>
      </c>
      <c r="E36" s="20">
        <f>gdp!G4</f>
        <v>302607.14285714284</v>
      </c>
      <c r="F36" s="20">
        <f>gdp!H4</f>
        <v>303565.05576208176</v>
      </c>
      <c r="G36" s="20">
        <f>gdp!I4</f>
        <v>317648.35164835164</v>
      </c>
      <c r="H36" s="20">
        <f>gdp!J4</f>
        <v>335868.13186813187</v>
      </c>
      <c r="I36" s="20">
        <f>gdp!K4</f>
        <v>359767.35459662287</v>
      </c>
      <c r="J36" s="20">
        <f>gdp!L4</f>
        <v>364996.29629629629</v>
      </c>
      <c r="K36" s="20">
        <f>gdp!M4</f>
        <v>370157.89473684208</v>
      </c>
      <c r="L36" s="20">
        <f>gdp!N4</f>
        <v>377968.40148698882</v>
      </c>
      <c r="M36" s="20">
        <f>gdp!O4</f>
        <v>392080.92485549132</v>
      </c>
      <c r="N36" s="20">
        <f>gdp!P4</f>
        <v>417159.75103734439</v>
      </c>
      <c r="O36" s="20">
        <f>gdp!Q4</f>
        <v>439509.93377483444</v>
      </c>
      <c r="P36" s="34">
        <f>gdp!R4</f>
        <v>460166.66666666669</v>
      </c>
      <c r="Q36" s="34">
        <f>gdp!S4</f>
        <v>442337.37373737374</v>
      </c>
    </row>
    <row r="37" spans="1:17" x14ac:dyDescent="0.2">
      <c r="A37" t="s">
        <v>99</v>
      </c>
      <c r="B37">
        <f>(gdp!D9-gdp!C9)/gdp!C9</f>
        <v>1.7470425587845506E-2</v>
      </c>
      <c r="C37">
        <f>(gdp!E9-gdp!D9)/gdp!D9</f>
        <v>2.224044588741185E-2</v>
      </c>
      <c r="D37">
        <f>(gdp!F9-gdp!E9)/gdp!E9</f>
        <v>2.7645429696344061E-2</v>
      </c>
      <c r="E37">
        <f>(gdp!G9-gdp!F9)/gdp!F9</f>
        <v>1.5731650564955884E-2</v>
      </c>
      <c r="F37">
        <f>(gdp!H9-gdp!G9)/gdp!G9</f>
        <v>-9.0681929854639683E-3</v>
      </c>
      <c r="G37">
        <f>(gdp!I9-gdp!H9)/gdp!H9</f>
        <v>1.5434634425312486E-2</v>
      </c>
      <c r="H37">
        <f>(gdp!J9-gdp!I9)/gdp!I9</f>
        <v>3.5475918059130175E-2</v>
      </c>
      <c r="I37">
        <f>(gdp!K9-gdp!J9)/gdp!J9</f>
        <v>6.3235111863484031E-2</v>
      </c>
      <c r="J37">
        <f>(gdp!L9-gdp!K9)/gdp!K9</f>
        <v>5.5766503986332113E-4</v>
      </c>
      <c r="K37">
        <f>(gdp!M9-gdp!L9)/gdp!L9</f>
        <v>3.5690635224650976E-3</v>
      </c>
      <c r="L37">
        <f>(gdp!N9-gdp!M9)/gdp!M9</f>
        <v>1.3783670479661673E-2</v>
      </c>
      <c r="M37">
        <f>(gdp!O9-gdp!N9)/gdp!N9</f>
        <v>2.671105274953926E-2</v>
      </c>
      <c r="N37">
        <f>(gdp!P9-gdp!O9)/gdp!O9</f>
        <v>4.6643058438223653E-2</v>
      </c>
      <c r="O37">
        <f>(gdp!Q9-gdp!P9)/gdp!P9</f>
        <v>3.197750617393974E-2</v>
      </c>
      <c r="P37" s="14">
        <f>(gdp!R9-gdp!Q9)/gdp!Q9</f>
        <v>3.8327032249783712E-2</v>
      </c>
      <c r="Q37" s="14">
        <f>(gdp!S9-gdp!R9)/gdp!R9</f>
        <v>-5.666859107445936E-2</v>
      </c>
    </row>
    <row r="38" spans="1:17" x14ac:dyDescent="0.2">
      <c r="A38" t="s">
        <v>114</v>
      </c>
      <c r="B38" s="19"/>
      <c r="C38" s="19"/>
      <c r="D38" s="19"/>
      <c r="E38" s="19"/>
      <c r="F38" s="19"/>
      <c r="G38" s="19">
        <f>pension_balance!G12</f>
        <v>29125</v>
      </c>
      <c r="H38" s="19">
        <f>pension_balance!H12</f>
        <v>28774</v>
      </c>
      <c r="I38" s="19">
        <f>pension_balance!I12</f>
        <v>28378</v>
      </c>
      <c r="J38" s="19">
        <f>pension_balance!J12</f>
        <v>28672</v>
      </c>
      <c r="K38" s="19">
        <f>pension_balance!K12</f>
        <v>28172</v>
      </c>
      <c r="L38" s="19">
        <f>pension_balance!L12</f>
        <v>26745</v>
      </c>
      <c r="M38" s="19">
        <f>pension_balance!M12</f>
        <v>24647</v>
      </c>
      <c r="N38" s="19">
        <f>pension_balance!N12</f>
        <v>21903</v>
      </c>
      <c r="O38" s="19">
        <f>pension_balance!O12</f>
        <v>18362</v>
      </c>
      <c r="P38" s="34">
        <f>pension_balance!P12</f>
        <v>14716</v>
      </c>
      <c r="Q38" s="34">
        <f>pension_balance!Q12</f>
        <v>12287</v>
      </c>
    </row>
    <row r="39" spans="1:17" x14ac:dyDescent="0.2">
      <c r="A39" s="21" t="s">
        <v>115</v>
      </c>
      <c r="B39" s="20">
        <f>pension_debt_service!B2</f>
        <v>2831</v>
      </c>
      <c r="C39" s="20">
        <f>pension_debt_service!B3</f>
        <v>2693</v>
      </c>
      <c r="D39" s="20">
        <f>pension_debt_service!B4</f>
        <v>2486</v>
      </c>
      <c r="E39" s="20">
        <f>pension_debt_service!B5</f>
        <v>2143</v>
      </c>
      <c r="F39" s="20">
        <f>pension_debt_service!B6</f>
        <v>2307</v>
      </c>
      <c r="G39" s="20">
        <f>pension_debt_service!B7</f>
        <v>2652</v>
      </c>
      <c r="H39" s="20">
        <f>pension_debt_service!B8</f>
        <v>2816</v>
      </c>
      <c r="I39" s="20">
        <f>pension_debt_service!B9</f>
        <v>3084</v>
      </c>
      <c r="J39" s="20">
        <f>pension_debt_service!B10</f>
        <v>3379</v>
      </c>
      <c r="K39" s="20">
        <f>pension_debt_service!B11</f>
        <v>3169</v>
      </c>
      <c r="L39" s="20">
        <f>pension_debt_service!B12</f>
        <v>2731</v>
      </c>
      <c r="M39" s="20">
        <f>pension_debt_service!B13</f>
        <v>2309</v>
      </c>
      <c r="N39" s="20">
        <f>pension_debt_service!B14</f>
        <v>1772</v>
      </c>
      <c r="O39" s="20">
        <f>pension_debt_service!B15</f>
        <v>1291</v>
      </c>
      <c r="P39" s="144">
        <f>pension_debt_service!B16</f>
        <v>901</v>
      </c>
      <c r="Q39" s="144">
        <f>pension_debt_service!B17</f>
        <v>883</v>
      </c>
    </row>
    <row r="40" spans="1:17" x14ac:dyDescent="0.2">
      <c r="A40" t="s">
        <v>118</v>
      </c>
      <c r="B40">
        <f>Consolidé!B85</f>
        <v>0</v>
      </c>
      <c r="C40">
        <f>Consolidé!C85</f>
        <v>0</v>
      </c>
      <c r="D40">
        <f>Consolidé!D85</f>
        <v>0</v>
      </c>
      <c r="E40">
        <f>Consolidé!E85</f>
        <v>0</v>
      </c>
      <c r="F40">
        <f>Consolidé!F85</f>
        <v>0</v>
      </c>
      <c r="G40">
        <f>Consolidé!G85</f>
        <v>0</v>
      </c>
      <c r="H40">
        <f>Consolidé!H85</f>
        <v>0</v>
      </c>
      <c r="I40">
        <f>Consolidé!I85</f>
        <v>0</v>
      </c>
      <c r="J40">
        <f>Consolidé!J85</f>
        <v>0</v>
      </c>
      <c r="K40">
        <f>Consolidé!K85</f>
        <v>0</v>
      </c>
      <c r="L40">
        <f>Consolidé!L85</f>
        <v>0</v>
      </c>
      <c r="M40">
        <f>Consolidé!M85</f>
        <v>0</v>
      </c>
      <c r="N40">
        <f>Consolidé!N85</f>
        <v>69073</v>
      </c>
      <c r="O40">
        <f>Consolidé!O85</f>
        <v>72110</v>
      </c>
      <c r="P40" s="14">
        <f>Consolidé!P85</f>
        <v>76107</v>
      </c>
      <c r="Q40" s="14">
        <f>Consolidé!Q85</f>
        <v>80326</v>
      </c>
    </row>
    <row r="41" spans="1:17" x14ac:dyDescent="0.2">
      <c r="A41" t="s">
        <v>121</v>
      </c>
      <c r="B41">
        <f>Consolidé!B84</f>
        <v>0</v>
      </c>
      <c r="C41">
        <f>Consolidé!C84</f>
        <v>0</v>
      </c>
      <c r="D41">
        <f>Consolidé!D84</f>
        <v>0</v>
      </c>
      <c r="E41">
        <f>Consolidé!E84</f>
        <v>0</v>
      </c>
      <c r="F41">
        <f>Consolidé!F84</f>
        <v>0</v>
      </c>
      <c r="G41">
        <f>Consolidé!G84</f>
        <v>0</v>
      </c>
      <c r="H41">
        <f>Consolidé!H84</f>
        <v>0</v>
      </c>
      <c r="I41">
        <f>Consolidé!I84</f>
        <v>0</v>
      </c>
      <c r="J41">
        <f>Consolidé!J84</f>
        <v>0</v>
      </c>
      <c r="K41">
        <f>Consolidé!K84</f>
        <v>0</v>
      </c>
      <c r="L41">
        <f>Consolidé!L84</f>
        <v>0</v>
      </c>
      <c r="M41">
        <f>Consolidé!M84</f>
        <v>0</v>
      </c>
      <c r="N41">
        <f>Consolidé!N84</f>
        <v>24528</v>
      </c>
      <c r="O41">
        <f>Consolidé!O84</f>
        <v>26540</v>
      </c>
      <c r="P41" s="34">
        <f>Consolidé!P84</f>
        <v>27479</v>
      </c>
      <c r="Q41" s="34">
        <f>Consolidé!Q84</f>
        <v>28451.222343632253</v>
      </c>
    </row>
    <row r="42" spans="1:17" x14ac:dyDescent="0.2">
      <c r="A42" t="s">
        <v>122</v>
      </c>
      <c r="C42">
        <f t="shared" ref="C42:N42" si="0">C40-B40</f>
        <v>0</v>
      </c>
      <c r="D42">
        <f t="shared" si="0"/>
        <v>0</v>
      </c>
      <c r="E42">
        <f t="shared" si="0"/>
        <v>0</v>
      </c>
      <c r="F42">
        <f t="shared" si="0"/>
        <v>0</v>
      </c>
      <c r="G42">
        <f t="shared" si="0"/>
        <v>0</v>
      </c>
      <c r="H42">
        <f t="shared" si="0"/>
        <v>0</v>
      </c>
      <c r="I42">
        <f t="shared" si="0"/>
        <v>0</v>
      </c>
      <c r="J42">
        <f t="shared" si="0"/>
        <v>0</v>
      </c>
      <c r="K42">
        <f t="shared" si="0"/>
        <v>0</v>
      </c>
      <c r="L42">
        <f t="shared" si="0"/>
        <v>0</v>
      </c>
      <c r="M42">
        <f t="shared" si="0"/>
        <v>0</v>
      </c>
      <c r="N42">
        <f t="shared" si="0"/>
        <v>69073</v>
      </c>
      <c r="O42">
        <f t="shared" ref="O42:Q43" si="1">O40-N40</f>
        <v>3037</v>
      </c>
      <c r="P42" s="14">
        <f t="shared" si="1"/>
        <v>3997</v>
      </c>
      <c r="Q42" s="14">
        <f t="shared" si="1"/>
        <v>4219</v>
      </c>
    </row>
    <row r="43" spans="1:17" x14ac:dyDescent="0.2">
      <c r="A43" t="s">
        <v>123</v>
      </c>
      <c r="C43">
        <f t="shared" ref="C43:N43" si="2">C41-B41</f>
        <v>0</v>
      </c>
      <c r="D43">
        <f t="shared" si="2"/>
        <v>0</v>
      </c>
      <c r="E43">
        <f t="shared" si="2"/>
        <v>0</v>
      </c>
      <c r="F43">
        <f t="shared" si="2"/>
        <v>0</v>
      </c>
      <c r="G43">
        <f t="shared" si="2"/>
        <v>0</v>
      </c>
      <c r="H43">
        <f t="shared" si="2"/>
        <v>0</v>
      </c>
      <c r="I43">
        <f t="shared" si="2"/>
        <v>0</v>
      </c>
      <c r="J43">
        <f t="shared" si="2"/>
        <v>0</v>
      </c>
      <c r="K43">
        <f t="shared" si="2"/>
        <v>0</v>
      </c>
      <c r="L43">
        <f t="shared" si="2"/>
        <v>0</v>
      </c>
      <c r="M43">
        <f t="shared" si="2"/>
        <v>0</v>
      </c>
      <c r="N43">
        <f t="shared" si="2"/>
        <v>24528</v>
      </c>
      <c r="O43">
        <f t="shared" si="1"/>
        <v>2012</v>
      </c>
      <c r="P43" s="14">
        <f t="shared" si="1"/>
        <v>939</v>
      </c>
      <c r="Q43" s="14">
        <f t="shared" si="1"/>
        <v>972.22234363225289</v>
      </c>
    </row>
    <row r="44" spans="1:17" x14ac:dyDescent="0.2">
      <c r="A44" t="s">
        <v>290</v>
      </c>
      <c r="Q44" t="e">
        <f>Consolidé!#REF!</f>
        <v>#REF!</v>
      </c>
    </row>
    <row r="45" spans="1:17" x14ac:dyDescent="0.2">
      <c r="A45" t="s">
        <v>291</v>
      </c>
      <c r="Q45">
        <f>Consolidé!Q22</f>
        <v>4039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dimension ref="A1:E18"/>
  <sheetViews>
    <sheetView workbookViewId="0">
      <selection activeCell="G15" sqref="G15"/>
    </sheetView>
  </sheetViews>
  <sheetFormatPr baseColWidth="10" defaultRowHeight="16" x14ac:dyDescent="0.2"/>
  <cols>
    <col min="2" max="2" width="14" customWidth="1"/>
  </cols>
  <sheetData>
    <row r="1" spans="1:5" x14ac:dyDescent="0.2">
      <c r="A1" t="s">
        <v>79</v>
      </c>
      <c r="B1" t="s">
        <v>80</v>
      </c>
    </row>
    <row r="2" spans="1:5" x14ac:dyDescent="0.2">
      <c r="A2">
        <v>2006</v>
      </c>
      <c r="B2" s="18"/>
    </row>
    <row r="3" spans="1:5" x14ac:dyDescent="0.2">
      <c r="A3">
        <v>2007</v>
      </c>
      <c r="B3" s="18"/>
    </row>
    <row r="4" spans="1:5" x14ac:dyDescent="0.2">
      <c r="A4">
        <v>2008</v>
      </c>
      <c r="B4" s="18">
        <f>Consolidé!D$44</f>
        <v>6.1643835616438353E-2</v>
      </c>
    </row>
    <row r="5" spans="1:5" x14ac:dyDescent="0.2">
      <c r="A5">
        <v>2009</v>
      </c>
      <c r="B5" s="18">
        <f>Consolidé!E$44</f>
        <v>-4.0551500405515001E-2</v>
      </c>
    </row>
    <row r="6" spans="1:5" x14ac:dyDescent="0.2">
      <c r="A6">
        <v>2010</v>
      </c>
      <c r="B6" s="18">
        <f>Consolidé!F$44</f>
        <v>3.0737704918032786E-2</v>
      </c>
    </row>
    <row r="7" spans="1:5" x14ac:dyDescent="0.2">
      <c r="A7">
        <v>2011</v>
      </c>
      <c r="B7" s="18">
        <f>Consolidé!G$44</f>
        <v>3.5113933507657825E-2</v>
      </c>
    </row>
    <row r="8" spans="1:5" x14ac:dyDescent="0.2">
      <c r="A8">
        <v>2012</v>
      </c>
      <c r="B8" s="18">
        <f>Consolidé!H$44</f>
        <v>4.3351760256037243E-2</v>
      </c>
    </row>
    <row r="9" spans="1:5" x14ac:dyDescent="0.2">
      <c r="A9">
        <v>2013</v>
      </c>
      <c r="B9" s="18">
        <f>Consolidé!I$44</f>
        <v>5.4243628711713815E-2</v>
      </c>
    </row>
    <row r="10" spans="1:5" x14ac:dyDescent="0.2">
      <c r="A10">
        <v>2014</v>
      </c>
      <c r="B10" s="18">
        <f>Consolidé!J$44</f>
        <v>6.4719358533791529E-2</v>
      </c>
      <c r="E10" s="18"/>
    </row>
    <row r="11" spans="1:5" x14ac:dyDescent="0.2">
      <c r="A11">
        <v>2015</v>
      </c>
      <c r="B11" s="18">
        <f>Consolidé!K$44</f>
        <v>5.5663544795900334E-2</v>
      </c>
    </row>
    <row r="12" spans="1:5" x14ac:dyDescent="0.2">
      <c r="A12">
        <v>2016</v>
      </c>
      <c r="B12" s="18">
        <f>Consolidé!L$44</f>
        <v>4.295185932545402E-2</v>
      </c>
    </row>
    <row r="13" spans="1:5" x14ac:dyDescent="0.2">
      <c r="A13">
        <v>2017</v>
      </c>
      <c r="B13" s="18">
        <f>Consolidé!M$44</f>
        <v>4.9518892278807791E-2</v>
      </c>
    </row>
    <row r="14" spans="1:5" x14ac:dyDescent="0.2">
      <c r="A14">
        <v>2018</v>
      </c>
      <c r="B14" s="18">
        <f>Consolidé!N$44</f>
        <v>3.9152332984890244E-2</v>
      </c>
    </row>
    <row r="15" spans="1:5" x14ac:dyDescent="0.2">
      <c r="A15">
        <v>2019</v>
      </c>
      <c r="B15" s="18">
        <f>Consolidé!O$44</f>
        <v>0.10877028714107366</v>
      </c>
    </row>
    <row r="16" spans="1:5" x14ac:dyDescent="0.2">
      <c r="A16">
        <v>2020</v>
      </c>
      <c r="B16">
        <f>Consolidé!P$44</f>
        <v>5.5950801881104545E-2</v>
      </c>
    </row>
    <row r="17" spans="1:2" x14ac:dyDescent="0.2">
      <c r="A17">
        <v>2021</v>
      </c>
      <c r="B17">
        <f>Consolidé!Q$44</f>
        <v>7.7424429711203502E-2</v>
      </c>
    </row>
    <row r="18" spans="1:2" x14ac:dyDescent="0.2">
      <c r="B18" s="18"/>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038E-0E89-8042-9D06-041DFBF23E82}">
  <sheetPr codeName="Feuil5"/>
  <dimension ref="A1:R26"/>
  <sheetViews>
    <sheetView workbookViewId="0">
      <pane xSplit="1" ySplit="2" topLeftCell="L3" activePane="bottomRight" state="frozen"/>
      <selection activeCell="B8" sqref="B8"/>
      <selection pane="topRight" activeCell="B8" sqref="B8"/>
      <selection pane="bottomLeft" activeCell="B8" sqref="B8"/>
      <selection pane="bottomRight" activeCell="P23" sqref="P23"/>
    </sheetView>
  </sheetViews>
  <sheetFormatPr baseColWidth="10" defaultColWidth="10.83203125" defaultRowHeight="15" x14ac:dyDescent="0.2"/>
  <cols>
    <col min="1" max="1" width="68.83203125" style="49" customWidth="1"/>
    <col min="2" max="17" width="12.83203125" style="49" customWidth="1"/>
    <col min="18" max="16384" width="10.83203125" style="49"/>
  </cols>
  <sheetData>
    <row r="1" spans="1:18" x14ac:dyDescent="0.2">
      <c r="B1" s="49">
        <v>2006</v>
      </c>
      <c r="C1" s="49">
        <v>2007</v>
      </c>
      <c r="D1" s="49">
        <v>2008</v>
      </c>
      <c r="E1" s="49">
        <v>2009</v>
      </c>
      <c r="F1" s="49">
        <v>2010</v>
      </c>
      <c r="G1" s="49">
        <v>2011</v>
      </c>
      <c r="H1" s="49">
        <v>2012</v>
      </c>
      <c r="I1" s="49">
        <v>2013</v>
      </c>
      <c r="J1" s="49">
        <v>2014</v>
      </c>
      <c r="K1" s="49">
        <v>2015</v>
      </c>
      <c r="L1" s="49">
        <v>2016</v>
      </c>
      <c r="M1" s="49">
        <v>2017</v>
      </c>
      <c r="N1" s="49">
        <v>2018</v>
      </c>
      <c r="O1" s="49">
        <v>2019</v>
      </c>
      <c r="P1" s="49">
        <f>O1+1</f>
        <v>2020</v>
      </c>
      <c r="Q1" s="49">
        <f t="shared" ref="Q1" si="0">P1+1</f>
        <v>2021</v>
      </c>
    </row>
    <row r="2" spans="1:18" s="52" customFormat="1" x14ac:dyDescent="0.2">
      <c r="A2" s="50" t="s">
        <v>213</v>
      </c>
      <c r="B2" s="50">
        <f>B4-B6-B8+B11-B13-B14</f>
        <v>7559</v>
      </c>
      <c r="C2" s="50">
        <f>C4-C6-C8+C11-C13-C14</f>
        <v>7894</v>
      </c>
      <c r="D2" s="51">
        <f>D4-D6-D8+D11-D13-D14-D7</f>
        <v>8064</v>
      </c>
      <c r="E2" s="50">
        <f t="shared" ref="E2:O2" si="1">E4-E6-E8+E11-E13-E14</f>
        <v>8131</v>
      </c>
      <c r="F2" s="51">
        <f t="shared" si="1"/>
        <v>7844</v>
      </c>
      <c r="G2" s="50">
        <f t="shared" si="1"/>
        <v>8935</v>
      </c>
      <c r="H2" s="50">
        <f t="shared" si="1"/>
        <v>9451</v>
      </c>
      <c r="I2" s="50">
        <f t="shared" si="1"/>
        <v>9839</v>
      </c>
      <c r="J2" s="50">
        <f t="shared" si="1"/>
        <v>10598</v>
      </c>
      <c r="K2" s="50">
        <f t="shared" si="1"/>
        <v>10270</v>
      </c>
      <c r="L2" s="50">
        <f t="shared" si="1"/>
        <v>10009</v>
      </c>
      <c r="M2" s="50">
        <f t="shared" si="1"/>
        <v>9527</v>
      </c>
      <c r="N2" s="50">
        <f t="shared" si="1"/>
        <v>9240</v>
      </c>
      <c r="O2" s="50">
        <f t="shared" si="1"/>
        <v>8722</v>
      </c>
      <c r="P2" s="50"/>
      <c r="Q2" s="50"/>
    </row>
    <row r="3" spans="1:18" x14ac:dyDescent="0.2">
      <c r="A3" s="53" t="s">
        <v>214</v>
      </c>
    </row>
    <row r="4" spans="1:18" x14ac:dyDescent="0.2">
      <c r="A4" s="74" t="s">
        <v>215</v>
      </c>
      <c r="B4" s="54">
        <v>4728</v>
      </c>
      <c r="C4" s="54">
        <v>5981</v>
      </c>
      <c r="D4" s="54">
        <v>6548</v>
      </c>
      <c r="E4" s="54">
        <v>6422</v>
      </c>
      <c r="F4" s="54">
        <v>5826</v>
      </c>
      <c r="G4" s="49">
        <v>6583</v>
      </c>
      <c r="H4" s="49">
        <v>7116</v>
      </c>
      <c r="I4" s="49">
        <v>7238</v>
      </c>
      <c r="J4" s="49">
        <v>7589</v>
      </c>
      <c r="K4" s="49">
        <v>7736</v>
      </c>
      <c r="L4" s="49">
        <v>7911</v>
      </c>
      <c r="M4" s="49">
        <v>7809</v>
      </c>
      <c r="N4" s="49">
        <v>8002</v>
      </c>
      <c r="O4" s="49">
        <v>8339</v>
      </c>
      <c r="P4" s="54">
        <v>8168</v>
      </c>
      <c r="Q4" s="70">
        <f>P4/P$16*Q$16</f>
        <v>8181.8332464825435</v>
      </c>
    </row>
    <row r="5" spans="1:18" x14ac:dyDescent="0.2">
      <c r="A5" s="75" t="s">
        <v>216</v>
      </c>
      <c r="Q5" s="68"/>
    </row>
    <row r="6" spans="1:18" ht="16" x14ac:dyDescent="0.2">
      <c r="A6" s="76" t="s">
        <v>217</v>
      </c>
      <c r="C6" s="49">
        <v>647</v>
      </c>
      <c r="D6" s="49">
        <v>132</v>
      </c>
      <c r="E6" s="49">
        <v>292</v>
      </c>
      <c r="F6" s="49">
        <v>267</v>
      </c>
      <c r="G6" s="49">
        <v>270</v>
      </c>
      <c r="H6" s="49">
        <v>445</v>
      </c>
      <c r="I6" s="49">
        <v>405</v>
      </c>
      <c r="J6" s="49">
        <v>297</v>
      </c>
      <c r="K6" s="49">
        <v>551</v>
      </c>
      <c r="L6" s="49">
        <v>530</v>
      </c>
      <c r="M6" s="49">
        <v>495</v>
      </c>
      <c r="N6" s="49">
        <v>370</v>
      </c>
      <c r="O6" s="66">
        <v>665</v>
      </c>
      <c r="P6" s="67">
        <v>1140</v>
      </c>
      <c r="Q6" s="70">
        <f>P6/P$16*Q$16</f>
        <v>1141.9306930693069</v>
      </c>
      <c r="R6" s="66"/>
    </row>
    <row r="7" spans="1:18" ht="32" x14ac:dyDescent="0.2">
      <c r="A7" s="76" t="s">
        <v>218</v>
      </c>
      <c r="D7" s="49">
        <v>688</v>
      </c>
      <c r="O7" s="66"/>
      <c r="P7" s="66"/>
      <c r="Q7" s="69"/>
      <c r="R7" s="66"/>
    </row>
    <row r="8" spans="1:18" x14ac:dyDescent="0.2">
      <c r="A8" s="75" t="s">
        <v>219</v>
      </c>
      <c r="C8" s="49">
        <v>133</v>
      </c>
      <c r="D8" s="49">
        <v>150</v>
      </c>
      <c r="E8" s="49">
        <v>142</v>
      </c>
      <c r="F8" s="49">
        <v>22</v>
      </c>
      <c r="G8" s="49">
        <v>30</v>
      </c>
      <c r="H8" s="49">
        <v>36</v>
      </c>
      <c r="I8" s="49">
        <v>78</v>
      </c>
      <c r="J8" s="49">
        <v>73</v>
      </c>
      <c r="K8" s="49">
        <v>84</v>
      </c>
      <c r="L8" s="49">
        <v>103</v>
      </c>
      <c r="M8" s="49">
        <v>96</v>
      </c>
      <c r="N8" s="49">
        <v>164</v>
      </c>
      <c r="O8" s="66">
        <v>243</v>
      </c>
      <c r="P8" s="66">
        <v>259</v>
      </c>
      <c r="Q8" s="70">
        <f>P8/P$16*Q$16</f>
        <v>259.43863991662323</v>
      </c>
      <c r="R8" s="66"/>
    </row>
    <row r="9" spans="1:18" x14ac:dyDescent="0.2">
      <c r="A9" s="77" t="s">
        <v>220</v>
      </c>
      <c r="B9" s="57">
        <f t="shared" ref="B9:N9" si="2">B4-B6-B8</f>
        <v>4728</v>
      </c>
      <c r="C9" s="57">
        <f t="shared" si="2"/>
        <v>5201</v>
      </c>
      <c r="D9" s="58">
        <f>D4-D6-D8-D7</f>
        <v>5578</v>
      </c>
      <c r="E9" s="57">
        <f t="shared" si="2"/>
        <v>5988</v>
      </c>
      <c r="F9" s="57">
        <f t="shared" si="2"/>
        <v>5537</v>
      </c>
      <c r="G9" s="57">
        <f t="shared" si="2"/>
        <v>6283</v>
      </c>
      <c r="H9" s="57">
        <f t="shared" si="2"/>
        <v>6635</v>
      </c>
      <c r="I9" s="57">
        <f t="shared" si="2"/>
        <v>6755</v>
      </c>
      <c r="J9" s="57">
        <f t="shared" si="2"/>
        <v>7219</v>
      </c>
      <c r="K9" s="57">
        <f t="shared" si="2"/>
        <v>7101</v>
      </c>
      <c r="L9" s="57">
        <f t="shared" si="2"/>
        <v>7278</v>
      </c>
      <c r="M9" s="57">
        <f t="shared" si="2"/>
        <v>7218</v>
      </c>
      <c r="N9" s="57">
        <f t="shared" si="2"/>
        <v>7468</v>
      </c>
      <c r="O9" s="57">
        <f>O4-O6-O8</f>
        <v>7431</v>
      </c>
      <c r="P9" s="57">
        <f>P4-P6-P8</f>
        <v>6769</v>
      </c>
      <c r="Q9" s="71">
        <f>P9/P$16*Q$16</f>
        <v>6780.4639134966128</v>
      </c>
    </row>
    <row r="10" spans="1:18" x14ac:dyDescent="0.2">
      <c r="A10" s="75" t="s">
        <v>221</v>
      </c>
      <c r="Q10" s="68"/>
    </row>
    <row r="11" spans="1:18" ht="32" x14ac:dyDescent="0.2">
      <c r="A11" s="76" t="s">
        <v>222</v>
      </c>
      <c r="B11" s="54">
        <v>2831</v>
      </c>
      <c r="C11" s="54">
        <v>2693</v>
      </c>
      <c r="D11" s="54">
        <v>4398</v>
      </c>
      <c r="E11" s="54">
        <v>4383</v>
      </c>
      <c r="F11" s="54">
        <v>4793</v>
      </c>
      <c r="G11" s="49">
        <v>5012</v>
      </c>
      <c r="H11" s="49">
        <v>5128</v>
      </c>
      <c r="I11" s="49">
        <v>5285</v>
      </c>
      <c r="J11" s="49">
        <v>5608</v>
      </c>
      <c r="K11" s="49">
        <v>5874</v>
      </c>
      <c r="L11" s="49">
        <v>6036</v>
      </c>
      <c r="M11" s="49">
        <v>6078</v>
      </c>
      <c r="N11" s="49">
        <v>6444</v>
      </c>
      <c r="O11" s="49">
        <v>6680</v>
      </c>
      <c r="P11" s="54">
        <v>6963</v>
      </c>
      <c r="Q11" s="70">
        <f>P11/P$16*Q$16</f>
        <v>6974.7924700364774</v>
      </c>
    </row>
    <row r="12" spans="1:18" x14ac:dyDescent="0.2">
      <c r="A12" s="75" t="s">
        <v>216</v>
      </c>
      <c r="Q12" s="68"/>
    </row>
    <row r="13" spans="1:18" ht="32" x14ac:dyDescent="0.2">
      <c r="A13" s="76" t="s">
        <v>223</v>
      </c>
      <c r="D13" s="54">
        <v>1887</v>
      </c>
      <c r="E13" s="49">
        <v>2196</v>
      </c>
      <c r="F13" s="54">
        <v>2419</v>
      </c>
      <c r="G13" s="49">
        <v>2292</v>
      </c>
      <c r="H13" s="49">
        <v>2243</v>
      </c>
      <c r="I13" s="49">
        <v>2131</v>
      </c>
      <c r="J13" s="49">
        <v>2157</v>
      </c>
      <c r="K13" s="49">
        <v>2623</v>
      </c>
      <c r="L13" s="49">
        <v>3213</v>
      </c>
      <c r="M13" s="49">
        <v>3670</v>
      </c>
      <c r="N13" s="49">
        <v>4563</v>
      </c>
      <c r="O13" s="49">
        <v>5269</v>
      </c>
      <c r="P13" s="54">
        <v>5928</v>
      </c>
      <c r="Q13" s="70">
        <f>P13/P$16*Q$16</f>
        <v>5938.0396039603966</v>
      </c>
    </row>
    <row r="14" spans="1:18" ht="16" x14ac:dyDescent="0.2">
      <c r="A14" s="76" t="s">
        <v>224</v>
      </c>
      <c r="D14" s="49">
        <v>25</v>
      </c>
      <c r="E14" s="49">
        <v>44</v>
      </c>
      <c r="F14" s="49">
        <v>67</v>
      </c>
      <c r="G14" s="49">
        <v>68</v>
      </c>
      <c r="H14" s="49">
        <v>69</v>
      </c>
      <c r="I14" s="49">
        <v>70</v>
      </c>
      <c r="J14" s="49">
        <v>72</v>
      </c>
      <c r="K14" s="49">
        <v>82</v>
      </c>
      <c r="L14" s="49">
        <v>92</v>
      </c>
      <c r="M14" s="49">
        <v>99</v>
      </c>
      <c r="N14" s="49">
        <v>109</v>
      </c>
      <c r="O14" s="49">
        <v>120</v>
      </c>
      <c r="P14" s="49">
        <v>128</v>
      </c>
      <c r="Q14" s="70">
        <f>P14/P$16*Q$16</f>
        <v>128.21677957269409</v>
      </c>
    </row>
    <row r="15" spans="1:18" x14ac:dyDescent="0.2">
      <c r="A15" s="77" t="s">
        <v>220</v>
      </c>
      <c r="B15" s="57">
        <f t="shared" ref="B15:M15" si="3">B11-B13-B14</f>
        <v>2831</v>
      </c>
      <c r="C15" s="57">
        <f t="shared" si="3"/>
        <v>2693</v>
      </c>
      <c r="D15" s="57">
        <f t="shared" si="3"/>
        <v>2486</v>
      </c>
      <c r="E15" s="57">
        <f t="shared" si="3"/>
        <v>2143</v>
      </c>
      <c r="F15" s="57">
        <f t="shared" si="3"/>
        <v>2307</v>
      </c>
      <c r="G15" s="57">
        <f t="shared" si="3"/>
        <v>2652</v>
      </c>
      <c r="H15" s="57">
        <f t="shared" si="3"/>
        <v>2816</v>
      </c>
      <c r="I15" s="57">
        <f t="shared" si="3"/>
        <v>3084</v>
      </c>
      <c r="J15" s="57">
        <f t="shared" si="3"/>
        <v>3379</v>
      </c>
      <c r="K15" s="57">
        <f t="shared" si="3"/>
        <v>3169</v>
      </c>
      <c r="L15" s="57">
        <f t="shared" si="3"/>
        <v>2731</v>
      </c>
      <c r="M15" s="57">
        <f t="shared" si="3"/>
        <v>2309</v>
      </c>
      <c r="N15" s="57">
        <f>N11-N13-N14</f>
        <v>1772</v>
      </c>
      <c r="O15" s="57">
        <f>O11-O13-O14</f>
        <v>1291</v>
      </c>
      <c r="P15" s="57">
        <f>P11-P13-P14</f>
        <v>907</v>
      </c>
      <c r="Q15" s="73">
        <f>P15/P$16*Q$16</f>
        <v>908.5360865033872</v>
      </c>
    </row>
    <row r="16" spans="1:18" x14ac:dyDescent="0.2">
      <c r="A16" s="56" t="s">
        <v>213</v>
      </c>
      <c r="B16" s="57">
        <f>B15+B9</f>
        <v>7559</v>
      </c>
      <c r="C16" s="57">
        <f t="shared" ref="C16:P16" si="4">C15+C9</f>
        <v>7894</v>
      </c>
      <c r="D16" s="57">
        <f t="shared" si="4"/>
        <v>8064</v>
      </c>
      <c r="E16" s="57">
        <f t="shared" si="4"/>
        <v>8131</v>
      </c>
      <c r="F16" s="57">
        <f t="shared" si="4"/>
        <v>7844</v>
      </c>
      <c r="G16" s="57">
        <f t="shared" si="4"/>
        <v>8935</v>
      </c>
      <c r="H16" s="57">
        <f t="shared" si="4"/>
        <v>9451</v>
      </c>
      <c r="I16" s="57">
        <f t="shared" si="4"/>
        <v>9839</v>
      </c>
      <c r="J16" s="57">
        <f t="shared" si="4"/>
        <v>10598</v>
      </c>
      <c r="K16" s="57">
        <f t="shared" si="4"/>
        <v>10270</v>
      </c>
      <c r="L16" s="57">
        <f t="shared" si="4"/>
        <v>10009</v>
      </c>
      <c r="M16" s="57">
        <f t="shared" si="4"/>
        <v>9527</v>
      </c>
      <c r="N16" s="57">
        <f t="shared" si="4"/>
        <v>9240</v>
      </c>
      <c r="O16" s="57">
        <f t="shared" si="4"/>
        <v>8722</v>
      </c>
      <c r="P16" s="57">
        <f t="shared" si="4"/>
        <v>7676</v>
      </c>
      <c r="Q16" s="72">
        <f>Consolidé!Q35</f>
        <v>7689</v>
      </c>
    </row>
    <row r="17" spans="1:17" x14ac:dyDescent="0.2">
      <c r="A17" s="53"/>
    </row>
    <row r="18" spans="1:17" x14ac:dyDescent="0.2">
      <c r="A18" s="56" t="s">
        <v>211</v>
      </c>
      <c r="B18" s="57">
        <v>0.82536066818526965</v>
      </c>
      <c r="C18" s="57">
        <v>0.83826879271070631</v>
      </c>
      <c r="D18" s="57">
        <v>0.8557327258921793</v>
      </c>
      <c r="E18" s="57">
        <v>0.86104783599088852</v>
      </c>
      <c r="F18" s="57">
        <v>0.87167805618830685</v>
      </c>
      <c r="G18" s="57">
        <v>0.89825360668185272</v>
      </c>
      <c r="H18" s="57">
        <v>0.91723614274867127</v>
      </c>
      <c r="I18" s="57">
        <v>0.92406985573272604</v>
      </c>
      <c r="J18" s="57">
        <v>0.9369779802581627</v>
      </c>
      <c r="K18" s="57">
        <v>0.94684889901290825</v>
      </c>
      <c r="L18" s="57">
        <v>0.95368261199696291</v>
      </c>
      <c r="M18" s="57">
        <v>0.96355353075170869</v>
      </c>
      <c r="N18" s="57">
        <v>0.97949886104783612</v>
      </c>
      <c r="O18" s="57">
        <v>1</v>
      </c>
      <c r="P18" s="57">
        <v>1.0083523158694003</v>
      </c>
      <c r="Q18" s="72">
        <v>1.0275110098709188</v>
      </c>
    </row>
    <row r="19" spans="1:17" x14ac:dyDescent="0.2">
      <c r="A19" s="55"/>
    </row>
    <row r="20" spans="1:17" s="52" customFormat="1" x14ac:dyDescent="0.2">
      <c r="A20" s="50" t="s">
        <v>187</v>
      </c>
      <c r="B20" s="51"/>
      <c r="C20" s="50"/>
      <c r="D20" s="50"/>
      <c r="E20" s="50">
        <v>8161</v>
      </c>
      <c r="F20" s="50">
        <v>4283</v>
      </c>
      <c r="G20" s="50">
        <v>4518</v>
      </c>
      <c r="H20" s="50">
        <v>4436</v>
      </c>
      <c r="I20" s="50">
        <v>3485</v>
      </c>
      <c r="J20" s="50">
        <v>5805</v>
      </c>
      <c r="K20" s="50">
        <v>9644</v>
      </c>
      <c r="L20" s="50">
        <v>8513</v>
      </c>
      <c r="M20" s="50">
        <v>7932</v>
      </c>
      <c r="N20" s="50">
        <v>9747</v>
      </c>
      <c r="O20" s="51">
        <v>5949</v>
      </c>
      <c r="P20" s="51">
        <v>7988</v>
      </c>
      <c r="Q20" s="51"/>
    </row>
    <row r="21" spans="1:17" x14ac:dyDescent="0.2">
      <c r="A21" s="59"/>
      <c r="B21" s="60"/>
    </row>
    <row r="22" spans="1:17" s="52" customFormat="1" x14ac:dyDescent="0.2">
      <c r="A22" s="61" t="s">
        <v>225</v>
      </c>
      <c r="B22" s="61"/>
      <c r="C22" s="62"/>
      <c r="D22" s="61"/>
      <c r="E22" s="61"/>
      <c r="F22" s="61"/>
      <c r="G22" s="61"/>
      <c r="H22" s="61"/>
      <c r="I22" s="61"/>
      <c r="J22" s="61"/>
      <c r="K22" s="61"/>
      <c r="L22" s="61"/>
      <c r="M22" s="61"/>
      <c r="N22" s="61"/>
      <c r="O22" s="61"/>
      <c r="P22" s="61"/>
      <c r="Q22" s="61"/>
    </row>
    <row r="23" spans="1:17" s="52" customFormat="1" x14ac:dyDescent="0.2">
      <c r="A23" s="63" t="s">
        <v>226</v>
      </c>
      <c r="B23" s="63"/>
      <c r="C23" s="64"/>
      <c r="D23" s="64"/>
      <c r="E23" s="64"/>
      <c r="F23" s="64">
        <f>((F4-F6-F8)/F18/((Consolidé!E72-E20)/E18))</f>
        <v>4.37337630614658E-2</v>
      </c>
      <c r="G23" s="64">
        <f>((G4-G6-G8)/G18/((Consolidé!F72-F20)/F18))</f>
        <v>4.4578985501571994E-2</v>
      </c>
      <c r="H23" s="64">
        <f>((H4-H6-H8)/H18/((Consolidé!G72-G20)/G18))</f>
        <v>4.3576169821664026E-2</v>
      </c>
      <c r="I23" s="64">
        <f>((I4-I6-I8)/I18/((Consolidé!H72-H20)/H18))</f>
        <v>4.1841155651156196E-2</v>
      </c>
      <c r="J23" s="64">
        <f>((J4-J6-J8)/J18/((Consolidé!I72-I20)/I18))</f>
        <v>4.1856307489145997E-2</v>
      </c>
      <c r="K23" s="64">
        <f>((K4-K6-K8)/K18/((Consolidé!J72-J20)/J18))</f>
        <v>4.0102107167493205E-2</v>
      </c>
      <c r="L23" s="64">
        <f>((L4-L6-L8)/L18/((Consolidé!K72-K20)/K18))</f>
        <v>3.9462654015240621E-2</v>
      </c>
      <c r="M23" s="64">
        <f>((M4-M6-M8)/M18/((Consolidé!L72-L20)/L18))</f>
        <v>3.8526558186228119E-2</v>
      </c>
      <c r="N23" s="64">
        <f>((N4-N6-N8)/N18/((Consolidé!M72-M20)/M18))</f>
        <v>3.8742078571155254E-2</v>
      </c>
      <c r="O23" s="64">
        <f>((O4-O6-O8)/O18/((Consolidé!N72-N20)/N18))</f>
        <v>3.7869824645146613E-2</v>
      </c>
      <c r="P23" s="64">
        <f>((P4-P6-P8)/P18/((Consolidé!O72-O20)/O18))</f>
        <v>3.5473298188553166E-2</v>
      </c>
      <c r="Q23" s="64">
        <f>((Q4-Q6-Q8)/Q18/((Consolidé!P72-P20)/P18))</f>
        <v>3.4481343213223214E-2</v>
      </c>
    </row>
    <row r="25" spans="1:17" x14ac:dyDescent="0.2">
      <c r="O25" s="65"/>
      <c r="P25" s="65"/>
      <c r="Q25" s="65"/>
    </row>
    <row r="26" spans="1:17" x14ac:dyDescent="0.2">
      <c r="O26" s="65"/>
      <c r="P26" s="65"/>
      <c r="Q26" s="65"/>
    </row>
  </sheetData>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F4AC-FE29-5E40-AFAA-CB3E9AE2C803}">
  <dimension ref="A1:D57"/>
  <sheetViews>
    <sheetView workbookViewId="0">
      <pane xSplit="1" ySplit="4" topLeftCell="B28" activePane="bottomRight" state="frozen"/>
      <selection activeCell="B8" sqref="B8"/>
      <selection pane="topRight" activeCell="B8" sqref="B8"/>
      <selection pane="bottomLeft" activeCell="B8" sqref="B8"/>
      <selection pane="bottomRight" activeCell="D26" sqref="D26"/>
    </sheetView>
  </sheetViews>
  <sheetFormatPr baseColWidth="10" defaultColWidth="10.83203125" defaultRowHeight="15" x14ac:dyDescent="0.2"/>
  <cols>
    <col min="1" max="1" width="68.83203125" style="49" customWidth="1"/>
    <col min="2" max="4" width="12.83203125" style="49" customWidth="1"/>
    <col min="5" max="16384" width="10.83203125" style="49"/>
  </cols>
  <sheetData>
    <row r="1" spans="1:4" s="138" customFormat="1" x14ac:dyDescent="0.2">
      <c r="A1" s="138" t="s">
        <v>322</v>
      </c>
    </row>
    <row r="3" spans="1:4" x14ac:dyDescent="0.2">
      <c r="B3" s="49">
        <v>2018</v>
      </c>
      <c r="C3" s="49">
        <v>2019</v>
      </c>
      <c r="D3" s="49">
        <f>C3+1</f>
        <v>2020</v>
      </c>
    </row>
    <row r="4" spans="1:4" s="52" customFormat="1" x14ac:dyDescent="0.2">
      <c r="A4" s="50" t="s">
        <v>213</v>
      </c>
      <c r="B4" s="50">
        <f t="shared" ref="B4:C4" si="0">B6-B8-B10+B13-B15-B16</f>
        <v>9240</v>
      </c>
      <c r="C4" s="50">
        <f t="shared" si="0"/>
        <v>8722</v>
      </c>
      <c r="D4" s="50"/>
    </row>
    <row r="5" spans="1:4" x14ac:dyDescent="0.2">
      <c r="A5" s="53" t="s">
        <v>214</v>
      </c>
    </row>
    <row r="6" spans="1:4" x14ac:dyDescent="0.2">
      <c r="A6" s="74" t="s">
        <v>215</v>
      </c>
      <c r="B6" s="49">
        <v>8002</v>
      </c>
      <c r="C6" s="49">
        <v>8339</v>
      </c>
      <c r="D6" s="54">
        <v>8168</v>
      </c>
    </row>
    <row r="7" spans="1:4" x14ac:dyDescent="0.2">
      <c r="A7" s="75" t="s">
        <v>216</v>
      </c>
    </row>
    <row r="8" spans="1:4" ht="16" x14ac:dyDescent="0.2">
      <c r="A8" s="76" t="s">
        <v>217</v>
      </c>
      <c r="B8" s="49">
        <v>370</v>
      </c>
      <c r="C8" s="66">
        <v>665</v>
      </c>
      <c r="D8" s="67">
        <v>1140</v>
      </c>
    </row>
    <row r="9" spans="1:4" ht="32" x14ac:dyDescent="0.2">
      <c r="A9" s="76" t="s">
        <v>218</v>
      </c>
      <c r="C9" s="66"/>
      <c r="D9" s="66"/>
    </row>
    <row r="10" spans="1:4" x14ac:dyDescent="0.2">
      <c r="A10" s="75" t="s">
        <v>219</v>
      </c>
      <c r="B10" s="49">
        <v>164</v>
      </c>
      <c r="C10" s="66">
        <v>243</v>
      </c>
      <c r="D10" s="66">
        <v>259</v>
      </c>
    </row>
    <row r="11" spans="1:4" x14ac:dyDescent="0.2">
      <c r="A11" s="77" t="s">
        <v>220</v>
      </c>
      <c r="B11" s="57">
        <f t="shared" ref="B11" si="1">B6-B8-B10</f>
        <v>7468</v>
      </c>
      <c r="C11" s="57">
        <f>C6-C8-C10</f>
        <v>7431</v>
      </c>
      <c r="D11" s="57">
        <f>D6-D8-D10</f>
        <v>6769</v>
      </c>
    </row>
    <row r="12" spans="1:4" x14ac:dyDescent="0.2">
      <c r="A12" s="75" t="s">
        <v>221</v>
      </c>
    </row>
    <row r="13" spans="1:4" ht="32" x14ac:dyDescent="0.2">
      <c r="A13" s="76" t="s">
        <v>222</v>
      </c>
      <c r="B13" s="49">
        <v>6444</v>
      </c>
      <c r="C13" s="49">
        <v>6680</v>
      </c>
      <c r="D13" s="54">
        <v>6963</v>
      </c>
    </row>
    <row r="14" spans="1:4" x14ac:dyDescent="0.2">
      <c r="A14" s="75" t="s">
        <v>216</v>
      </c>
    </row>
    <row r="15" spans="1:4" ht="32" x14ac:dyDescent="0.2">
      <c r="A15" s="76" t="s">
        <v>223</v>
      </c>
      <c r="B15" s="49">
        <v>4563</v>
      </c>
      <c r="C15" s="49">
        <v>5269</v>
      </c>
      <c r="D15" s="54">
        <v>5928</v>
      </c>
    </row>
    <row r="16" spans="1:4" ht="16" x14ac:dyDescent="0.2">
      <c r="A16" s="76" t="s">
        <v>224</v>
      </c>
      <c r="B16" s="49">
        <v>109</v>
      </c>
      <c r="C16" s="49">
        <v>120</v>
      </c>
      <c r="D16" s="49">
        <v>128</v>
      </c>
    </row>
    <row r="17" spans="1:4" x14ac:dyDescent="0.2">
      <c r="A17" s="77" t="s">
        <v>220</v>
      </c>
      <c r="B17" s="57">
        <f>B13-B15-B16</f>
        <v>1772</v>
      </c>
      <c r="C17" s="57">
        <f>C13-C15-C16</f>
        <v>1291</v>
      </c>
      <c r="D17" s="57">
        <f>D13-D15-D16</f>
        <v>907</v>
      </c>
    </row>
    <row r="18" spans="1:4" x14ac:dyDescent="0.2">
      <c r="A18" s="56" t="s">
        <v>213</v>
      </c>
      <c r="B18" s="57">
        <f t="shared" ref="B18:D18" si="2">B17+B11</f>
        <v>9240</v>
      </c>
      <c r="C18" s="57">
        <f t="shared" si="2"/>
        <v>8722</v>
      </c>
      <c r="D18" s="57">
        <f t="shared" si="2"/>
        <v>7676</v>
      </c>
    </row>
    <row r="19" spans="1:4" x14ac:dyDescent="0.2">
      <c r="A19" s="53"/>
    </row>
    <row r="20" spans="1:4" x14ac:dyDescent="0.2">
      <c r="A20" s="56" t="s">
        <v>211</v>
      </c>
      <c r="B20" s="57">
        <v>0.97949886104783612</v>
      </c>
      <c r="C20" s="57">
        <v>1</v>
      </c>
      <c r="D20" s="57">
        <v>1.0083523158694001</v>
      </c>
    </row>
    <row r="21" spans="1:4" x14ac:dyDescent="0.2">
      <c r="A21" s="55"/>
    </row>
    <row r="22" spans="1:4" s="52" customFormat="1" x14ac:dyDescent="0.2">
      <c r="A22" s="50" t="s">
        <v>187</v>
      </c>
      <c r="B22" s="50">
        <v>9747</v>
      </c>
      <c r="C22" s="51">
        <v>5949</v>
      </c>
      <c r="D22" s="51">
        <v>7988</v>
      </c>
    </row>
    <row r="23" spans="1:4" x14ac:dyDescent="0.2">
      <c r="A23" s="59"/>
    </row>
    <row r="24" spans="1:4" s="52" customFormat="1" x14ac:dyDescent="0.2">
      <c r="A24" s="61" t="s">
        <v>225</v>
      </c>
      <c r="B24" s="61"/>
      <c r="C24" s="61"/>
      <c r="D24" s="61"/>
    </row>
    <row r="25" spans="1:4" s="52" customFormat="1" x14ac:dyDescent="0.2">
      <c r="A25" s="63" t="s">
        <v>226</v>
      </c>
      <c r="B25" s="64"/>
      <c r="C25" s="64">
        <f>((C6-C8-C10)/C20/((Consolidé!N72-B22)/B20))</f>
        <v>3.7869824645146613E-2</v>
      </c>
      <c r="D25" s="64">
        <f>((D6-D8-D10)/D20/((Consolidé!O72-C22)/C20))</f>
        <v>3.547329818855318E-2</v>
      </c>
    </row>
    <row r="27" spans="1:4" x14ac:dyDescent="0.2">
      <c r="C27" s="65"/>
      <c r="D27" s="65"/>
    </row>
    <row r="28" spans="1:4" s="138" customFormat="1" x14ac:dyDescent="0.2">
      <c r="A28" s="138" t="s">
        <v>321</v>
      </c>
      <c r="C28" s="165"/>
      <c r="D28" s="165"/>
    </row>
    <row r="30" spans="1:4" x14ac:dyDescent="0.2">
      <c r="B30" s="49">
        <v>2018</v>
      </c>
      <c r="C30" s="49">
        <v>2019</v>
      </c>
      <c r="D30" s="49">
        <f>C30+1</f>
        <v>2020</v>
      </c>
    </row>
    <row r="31" spans="1:4" s="52" customFormat="1" x14ac:dyDescent="0.2">
      <c r="A31" s="50" t="s">
        <v>213</v>
      </c>
      <c r="B31" s="166">
        <f>B4/B$47</f>
        <v>9512.186046511626</v>
      </c>
      <c r="C31" s="166">
        <f>C4/C$47</f>
        <v>8794.8488990129081</v>
      </c>
      <c r="D31" s="166">
        <f>D4/D$47</f>
        <v>0</v>
      </c>
    </row>
    <row r="32" spans="1:4" x14ac:dyDescent="0.2">
      <c r="A32" s="53" t="s">
        <v>214</v>
      </c>
    </row>
    <row r="33" spans="1:4" x14ac:dyDescent="0.2">
      <c r="A33" s="74" t="s">
        <v>215</v>
      </c>
      <c r="B33" s="166">
        <f>B6/B$47</f>
        <v>8237.7178294573623</v>
      </c>
      <c r="C33" s="166">
        <f>C6/C$47</f>
        <v>8408.6499620349277</v>
      </c>
      <c r="D33" s="166">
        <f>D6/D$47</f>
        <v>8168</v>
      </c>
    </row>
    <row r="34" spans="1:4" x14ac:dyDescent="0.2">
      <c r="A34" s="75" t="s">
        <v>216</v>
      </c>
    </row>
    <row r="35" spans="1:4" ht="16" x14ac:dyDescent="0.2">
      <c r="A35" s="76" t="s">
        <v>217</v>
      </c>
      <c r="B35" s="166">
        <f>B8/B$47</f>
        <v>380.89922480620146</v>
      </c>
      <c r="C35" s="166">
        <f>C8/C$47</f>
        <v>670.55429005315113</v>
      </c>
      <c r="D35" s="166">
        <f>D8/D$47</f>
        <v>1140</v>
      </c>
    </row>
    <row r="36" spans="1:4" ht="32" x14ac:dyDescent="0.2">
      <c r="A36" s="76" t="s">
        <v>218</v>
      </c>
      <c r="C36" s="66"/>
      <c r="D36" s="66"/>
    </row>
    <row r="37" spans="1:4" x14ac:dyDescent="0.2">
      <c r="A37" s="75" t="s">
        <v>219</v>
      </c>
      <c r="B37" s="166">
        <f t="shared" ref="B37:D38" si="3">B10/B$47</f>
        <v>168.83100775193796</v>
      </c>
      <c r="C37" s="166">
        <f t="shared" si="3"/>
        <v>245.02961275626424</v>
      </c>
      <c r="D37" s="166">
        <f t="shared" si="3"/>
        <v>259</v>
      </c>
    </row>
    <row r="38" spans="1:4" x14ac:dyDescent="0.2">
      <c r="A38" s="77" t="s">
        <v>220</v>
      </c>
      <c r="B38" s="166">
        <f t="shared" si="3"/>
        <v>7687.9875968992228</v>
      </c>
      <c r="C38" s="166">
        <f t="shared" si="3"/>
        <v>7493.0660592255126</v>
      </c>
      <c r="D38" s="166">
        <f t="shared" si="3"/>
        <v>6769</v>
      </c>
    </row>
    <row r="39" spans="1:4" x14ac:dyDescent="0.2">
      <c r="A39" s="75" t="s">
        <v>221</v>
      </c>
    </row>
    <row r="40" spans="1:4" ht="32" x14ac:dyDescent="0.2">
      <c r="A40" s="76" t="s">
        <v>222</v>
      </c>
      <c r="B40" s="166">
        <f>B13/B$47</f>
        <v>6633.8232558139525</v>
      </c>
      <c r="C40" s="166">
        <f>C13/C$47</f>
        <v>6735.793470007593</v>
      </c>
      <c r="D40" s="166">
        <f>D13/D$47</f>
        <v>6963</v>
      </c>
    </row>
    <row r="41" spans="1:4" x14ac:dyDescent="0.2">
      <c r="A41" s="75" t="s">
        <v>216</v>
      </c>
    </row>
    <row r="42" spans="1:4" ht="32" x14ac:dyDescent="0.2">
      <c r="A42" s="76" t="s">
        <v>223</v>
      </c>
      <c r="B42" s="166">
        <f t="shared" ref="B42:D45" si="4">B15/B$47</f>
        <v>4697.4139534883707</v>
      </c>
      <c r="C42" s="166">
        <f t="shared" si="4"/>
        <v>5313.0083523158692</v>
      </c>
      <c r="D42" s="166">
        <f t="shared" si="4"/>
        <v>5928</v>
      </c>
    </row>
    <row r="43" spans="1:4" ht="16" x14ac:dyDescent="0.2">
      <c r="A43" s="76" t="s">
        <v>224</v>
      </c>
      <c r="B43" s="166">
        <f t="shared" si="4"/>
        <v>112.21085271317827</v>
      </c>
      <c r="C43" s="166">
        <f t="shared" si="4"/>
        <v>121.00227790432801</v>
      </c>
      <c r="D43" s="166">
        <f t="shared" si="4"/>
        <v>128</v>
      </c>
    </row>
    <row r="44" spans="1:4" x14ac:dyDescent="0.2">
      <c r="A44" s="77" t="s">
        <v>220</v>
      </c>
      <c r="B44" s="166">
        <f t="shared" si="4"/>
        <v>1824.1984496124028</v>
      </c>
      <c r="C44" s="166">
        <f t="shared" si="4"/>
        <v>1301.7828397873957</v>
      </c>
      <c r="D44" s="166">
        <f t="shared" si="4"/>
        <v>907</v>
      </c>
    </row>
    <row r="45" spans="1:4" x14ac:dyDescent="0.2">
      <c r="A45" s="56" t="s">
        <v>213</v>
      </c>
      <c r="B45" s="166">
        <f t="shared" si="4"/>
        <v>9512.186046511626</v>
      </c>
      <c r="C45" s="166">
        <f t="shared" si="4"/>
        <v>8794.8488990129081</v>
      </c>
      <c r="D45" s="166">
        <f t="shared" si="4"/>
        <v>7676</v>
      </c>
    </row>
    <row r="46" spans="1:4" x14ac:dyDescent="0.2">
      <c r="A46" s="53"/>
    </row>
    <row r="47" spans="1:4" x14ac:dyDescent="0.2">
      <c r="A47" s="56" t="s">
        <v>211</v>
      </c>
      <c r="B47" s="57">
        <f t="shared" ref="B47:C47" si="5">B20/$D20</f>
        <v>0.9713855421686749</v>
      </c>
      <c r="C47" s="57">
        <f t="shared" si="5"/>
        <v>0.99171686746987953</v>
      </c>
      <c r="D47" s="57">
        <f>D20/$D20</f>
        <v>1</v>
      </c>
    </row>
    <row r="48" spans="1:4" x14ac:dyDescent="0.2">
      <c r="A48" s="55"/>
    </row>
    <row r="49" spans="1:4" s="52" customFormat="1" x14ac:dyDescent="0.2">
      <c r="A49" s="50" t="s">
        <v>187</v>
      </c>
      <c r="B49" s="50">
        <v>9747</v>
      </c>
      <c r="C49" s="51">
        <v>5949</v>
      </c>
      <c r="D49" s="51">
        <v>7988</v>
      </c>
    </row>
    <row r="51" spans="1:4" s="52" customFormat="1" x14ac:dyDescent="0.2">
      <c r="A51" s="61" t="s">
        <v>225</v>
      </c>
      <c r="B51" s="61"/>
      <c r="C51" s="61"/>
      <c r="D51" s="61"/>
    </row>
    <row r="52" spans="1:4" s="52" customFormat="1" x14ac:dyDescent="0.2">
      <c r="A52" s="63" t="s">
        <v>226</v>
      </c>
      <c r="B52" s="64"/>
      <c r="C52" s="64">
        <f>((C33-C35-C37)/((Consolidé!N72-B22)/B47))</f>
        <v>3.786982464514662E-2</v>
      </c>
      <c r="D52" s="64">
        <f>((D33-D35-D37)/((Consolidé!O72-C22)/C47))</f>
        <v>3.5473298188553173E-2</v>
      </c>
    </row>
    <row r="54" spans="1:4" x14ac:dyDescent="0.2">
      <c r="C54" s="49">
        <f>Consolidé!N72/B47</f>
        <v>207897.88527131779</v>
      </c>
      <c r="D54" s="49">
        <f>Consolidé!O72/C47</f>
        <v>196818.27182991648</v>
      </c>
    </row>
    <row r="55" spans="1:4" x14ac:dyDescent="0.2">
      <c r="C55" s="49">
        <f>B49/B47</f>
        <v>10034.120930232557</v>
      </c>
      <c r="D55" s="49">
        <f>C49/C47</f>
        <v>5998.6879271070611</v>
      </c>
    </row>
    <row r="57" spans="1:4" x14ac:dyDescent="0.2">
      <c r="C57" s="49">
        <f>C54-C55</f>
        <v>197863.76434108525</v>
      </c>
      <c r="D57" s="49">
        <f>D54-D55</f>
        <v>190819.58390280942</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5EE9-DE79-F84F-9363-02201DF6707F}">
  <sheetPr codeName="Feuil6"/>
  <dimension ref="A1:U6"/>
  <sheetViews>
    <sheetView workbookViewId="0"/>
  </sheetViews>
  <sheetFormatPr baseColWidth="10" defaultRowHeight="16" x14ac:dyDescent="0.2"/>
  <cols>
    <col min="1" max="1" width="51.1640625" customWidth="1"/>
    <col min="2" max="2" width="12.33203125" customWidth="1"/>
    <col min="3" max="18" width="10.5" customWidth="1"/>
    <col min="19" max="21" width="10.5" style="1" customWidth="1"/>
    <col min="22" max="52" width="10.5" customWidth="1"/>
  </cols>
  <sheetData>
    <row r="1" spans="1:18" x14ac:dyDescent="0.2">
      <c r="B1">
        <v>2005</v>
      </c>
      <c r="C1">
        <v>2006</v>
      </c>
      <c r="D1">
        <v>2007</v>
      </c>
      <c r="E1">
        <v>2008</v>
      </c>
      <c r="F1">
        <v>2009</v>
      </c>
      <c r="G1">
        <v>2010</v>
      </c>
      <c r="H1">
        <v>2011</v>
      </c>
      <c r="I1">
        <v>2012</v>
      </c>
      <c r="J1">
        <v>2013</v>
      </c>
      <c r="K1">
        <v>2014</v>
      </c>
      <c r="L1">
        <v>2015</v>
      </c>
      <c r="M1">
        <v>2016</v>
      </c>
      <c r="N1">
        <v>2017</v>
      </c>
      <c r="O1">
        <v>2018</v>
      </c>
      <c r="P1">
        <v>2019</v>
      </c>
      <c r="Q1">
        <v>2020</v>
      </c>
      <c r="R1">
        <v>2021</v>
      </c>
    </row>
    <row r="2" spans="1:18" x14ac:dyDescent="0.2">
      <c r="A2" t="s">
        <v>207</v>
      </c>
      <c r="Q2" s="20"/>
    </row>
    <row r="3" spans="1:18" x14ac:dyDescent="0.2">
      <c r="A3" s="46" t="s">
        <v>210</v>
      </c>
      <c r="B3" s="20"/>
      <c r="C3" s="20">
        <f>(Consolidé!B35-Consolidé!B43)/C6</f>
        <v>9158.4204231830718</v>
      </c>
      <c r="D3" s="20">
        <f>(Consolidé!C35-Consolidé!C43)/D6</f>
        <v>9413.4483695652161</v>
      </c>
      <c r="E3" s="20">
        <f>(Consolidé!D35-Consolidé!D43)/E6</f>
        <v>9381.4338952972485</v>
      </c>
      <c r="F3" s="20">
        <f>(Consolidé!E35-Consolidé!E43)/F6</f>
        <v>9501.2142857142844</v>
      </c>
      <c r="G3" s="20">
        <f>(Consolidé!F35-Consolidé!F43)/G6</f>
        <v>8929.9024390243885</v>
      </c>
      <c r="H3" s="20">
        <f>(Consolidé!G35-Consolidé!G43)/H6</f>
        <v>9842.4319526627223</v>
      </c>
      <c r="I3" s="20">
        <f>(Consolidé!H35-Consolidé!H43)/I6</f>
        <v>10141.336092715232</v>
      </c>
      <c r="J3" s="20">
        <f>(Consolidé!I35-Consolidé!I43)/J6</f>
        <v>10396.400164338536</v>
      </c>
      <c r="K3" s="20">
        <f>(Consolidé!J35-Consolidé!J43)/K6</f>
        <v>10949.029983792541</v>
      </c>
      <c r="L3" s="20">
        <f>(Consolidé!K35-Consolidé!K43)/L6</f>
        <v>10513.821170809942</v>
      </c>
      <c r="M3" s="20">
        <f>(Consolidé!L35-Consolidé!L43)/M6</f>
        <v>10182.632961783438</v>
      </c>
      <c r="N3" s="20">
        <f>(Consolidé!M35-Consolidé!M43)/N6</f>
        <v>9449.3971631205641</v>
      </c>
      <c r="O3" s="20">
        <f>(Consolidé!N35-Consolidé!N43)/O6</f>
        <v>9012.7720930232554</v>
      </c>
      <c r="P3" s="20">
        <f>(Consolidé!O35-Consolidé!O43)/P6</f>
        <v>7328</v>
      </c>
      <c r="Q3" s="20">
        <f>(Consolidé!P35-Consolidé!P43)/Q6</f>
        <v>7152.2620481927697</v>
      </c>
      <c r="R3" s="20">
        <f>(Consolidé!Q35-Consolidé!Q43)/R6</f>
        <v>6812.5790699599174</v>
      </c>
    </row>
    <row r="4" spans="1:18" x14ac:dyDescent="0.2">
      <c r="A4" s="47" t="s">
        <v>208</v>
      </c>
      <c r="B4" s="47"/>
      <c r="C4">
        <f>Consolidé!B72/C6</f>
        <v>111479.74885004599</v>
      </c>
      <c r="D4">
        <f>Consolidé!C72/D6</f>
        <v>136811.72554347824</v>
      </c>
      <c r="E4">
        <f>Consolidé!D72/E6</f>
        <v>140846.54747116237</v>
      </c>
      <c r="F4">
        <f>Consolidé!E72/F6</f>
        <v>154723.11111111109</v>
      </c>
      <c r="G4">
        <f>Consolidé!F72/G6</f>
        <v>161818.91811846689</v>
      </c>
      <c r="H4">
        <f>Consolidé!G72/H6</f>
        <v>171030.76331360947</v>
      </c>
      <c r="I4">
        <f>Consolidé!H72/I6</f>
        <v>179545.91225165562</v>
      </c>
      <c r="J4">
        <f>Consolidé!I72/J6</f>
        <v>187842.94165981919</v>
      </c>
      <c r="K4">
        <f>Consolidé!J72/K6</f>
        <v>193208.38249594808</v>
      </c>
      <c r="L4">
        <f>Consolidé!K72/L6</f>
        <v>203569.96792301521</v>
      </c>
      <c r="M4">
        <f>Consolidé!L72/M6</f>
        <v>203364.30334394902</v>
      </c>
      <c r="N4">
        <f>Consolidé!M72/N6</f>
        <v>205028.56737588646</v>
      </c>
      <c r="O4">
        <f>Consolidé!N72/O6</f>
        <v>206175.83953488371</v>
      </c>
      <c r="P4">
        <f>Consolidé!O72/P6</f>
        <v>195188</v>
      </c>
      <c r="Q4">
        <f>Consolidé!P72/Q6</f>
        <v>199298.39683734937</v>
      </c>
      <c r="R4">
        <f>Consolidé!Q72/R6</f>
        <v>216907.65145961667</v>
      </c>
    </row>
    <row r="5" spans="1:18" x14ac:dyDescent="0.2">
      <c r="A5" s="47" t="s">
        <v>209</v>
      </c>
      <c r="B5" s="47"/>
      <c r="C5" s="47"/>
      <c r="D5" s="47"/>
      <c r="E5" s="47"/>
      <c r="F5" s="47"/>
      <c r="G5" s="47"/>
      <c r="H5" s="47"/>
      <c r="I5" s="47"/>
      <c r="J5" s="47"/>
      <c r="K5" s="47"/>
      <c r="L5" s="47"/>
      <c r="M5" s="47"/>
      <c r="N5" s="47"/>
      <c r="O5" s="47"/>
      <c r="P5" s="47"/>
    </row>
    <row r="6" spans="1:18" x14ac:dyDescent="0.2">
      <c r="A6" s="47" t="s">
        <v>211</v>
      </c>
      <c r="B6" s="47"/>
      <c r="C6">
        <v>0.82536066818526965</v>
      </c>
      <c r="D6">
        <v>0.83826879271070631</v>
      </c>
      <c r="E6">
        <v>0.8557327258921793</v>
      </c>
      <c r="F6">
        <v>0.86104783599088852</v>
      </c>
      <c r="G6">
        <v>0.87167805618830685</v>
      </c>
      <c r="H6">
        <v>0.89825360668185272</v>
      </c>
      <c r="I6">
        <v>0.91723614274867127</v>
      </c>
      <c r="J6">
        <v>0.92406985573272604</v>
      </c>
      <c r="K6">
        <v>0.9369779802581627</v>
      </c>
      <c r="L6">
        <v>0.94684889901290825</v>
      </c>
      <c r="M6">
        <v>0.95368261199696291</v>
      </c>
      <c r="N6">
        <v>0.96355353075170869</v>
      </c>
      <c r="O6">
        <v>0.97949886104783612</v>
      </c>
      <c r="P6">
        <v>1</v>
      </c>
      <c r="Q6">
        <v>1.0083523158694003</v>
      </c>
      <c r="R6">
        <f>Q6*1.019</f>
        <v>1.0275110098709188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B2958-370C-0A47-AD94-98BAEB507691}">
  <sheetPr codeName="Feuil3"/>
  <dimension ref="A1:S15"/>
  <sheetViews>
    <sheetView workbookViewId="0">
      <selection activeCell="A10" sqref="A10"/>
    </sheetView>
  </sheetViews>
  <sheetFormatPr baseColWidth="10" defaultRowHeight="16" x14ac:dyDescent="0.2"/>
  <sheetData>
    <row r="1" spans="1:19" s="29" customFormat="1" x14ac:dyDescent="0.2">
      <c r="A1" s="29" t="s">
        <v>155</v>
      </c>
    </row>
    <row r="3" spans="1:19" x14ac:dyDescent="0.2">
      <c r="B3">
        <v>2004</v>
      </c>
      <c r="C3">
        <v>2005</v>
      </c>
      <c r="D3">
        <v>2006</v>
      </c>
      <c r="E3">
        <v>2007</v>
      </c>
      <c r="F3">
        <v>2008</v>
      </c>
      <c r="G3">
        <v>2009</v>
      </c>
      <c r="H3">
        <v>2010</v>
      </c>
      <c r="I3">
        <v>2011</v>
      </c>
      <c r="J3">
        <v>2012</v>
      </c>
      <c r="K3">
        <v>2013</v>
      </c>
      <c r="L3">
        <v>2014</v>
      </c>
      <c r="M3">
        <v>2015</v>
      </c>
      <c r="N3">
        <v>2016</v>
      </c>
      <c r="O3">
        <v>2017</v>
      </c>
      <c r="P3">
        <v>2018</v>
      </c>
      <c r="Q3">
        <v>2019</v>
      </c>
      <c r="R3">
        <v>2020</v>
      </c>
      <c r="S3">
        <v>2021</v>
      </c>
    </row>
    <row r="4" spans="1:19" x14ac:dyDescent="0.2">
      <c r="A4" t="s">
        <v>249</v>
      </c>
      <c r="B4" s="12">
        <f>133231/0.531</f>
        <v>250905.83804143124</v>
      </c>
      <c r="C4" s="12">
        <f>136894/0.521</f>
        <v>262752.39923224569</v>
      </c>
      <c r="D4" s="12">
        <f>139728/0.514</f>
        <v>271844.35797665367</v>
      </c>
      <c r="E4" s="12">
        <f>144505/0.512</f>
        <v>282236.328125</v>
      </c>
      <c r="F4" s="12">
        <f>149225/0.504</f>
        <v>296081.34920634923</v>
      </c>
      <c r="G4" s="12">
        <f>152514/0.504</f>
        <v>302607.14285714284</v>
      </c>
      <c r="H4" s="20">
        <f>Consolidé!F79/0.538</f>
        <v>303565.05576208176</v>
      </c>
      <c r="I4" s="20">
        <f>Consolidé!G79/0.546</f>
        <v>317648.35164835164</v>
      </c>
      <c r="J4" s="20">
        <f>Consolidé!H79/0.546</f>
        <v>335868.13186813187</v>
      </c>
      <c r="K4" s="20">
        <f>Consolidé!I79/0.533</f>
        <v>359767.35459662287</v>
      </c>
      <c r="L4" s="20">
        <f>Consolidé!J79/0.54</f>
        <v>364996.29629629629</v>
      </c>
      <c r="M4" s="20">
        <f>Consolidé!K79/0.551</f>
        <v>370157.89473684208</v>
      </c>
      <c r="N4" s="20">
        <f>Consolidé!L79/0.538</f>
        <v>377968.40148698882</v>
      </c>
      <c r="O4" s="20">
        <f>Consolidé!M79/0.519</f>
        <v>392080.92485549132</v>
      </c>
      <c r="P4" s="20">
        <f>Consolidé!N79/0.482</f>
        <v>417159.75103734439</v>
      </c>
      <c r="Q4" s="20">
        <f>Consolidé!O79/0.453</f>
        <v>439509.93377483444</v>
      </c>
      <c r="R4" s="20">
        <f>Consolidé!P79/0.432</f>
        <v>460166.66666666669</v>
      </c>
      <c r="S4" s="137">
        <f>Consolidé!Q79/0.495</f>
        <v>442337.37373737374</v>
      </c>
    </row>
    <row r="5" spans="1:19" x14ac:dyDescent="0.2">
      <c r="A5" t="s">
        <v>250</v>
      </c>
      <c r="B5" s="20">
        <v>272822</v>
      </c>
      <c r="C5" s="20">
        <v>281116</v>
      </c>
      <c r="D5" s="20">
        <v>291512</v>
      </c>
      <c r="E5" s="20">
        <v>306946</v>
      </c>
      <c r="F5" s="20">
        <v>315382</v>
      </c>
      <c r="G5" s="20">
        <v>315540</v>
      </c>
      <c r="H5" s="20">
        <v>329129</v>
      </c>
      <c r="I5" s="20">
        <v>345763</v>
      </c>
      <c r="J5" s="20">
        <v>355253</v>
      </c>
      <c r="K5" s="20">
        <v>365802</v>
      </c>
      <c r="L5" s="20">
        <v>376878</v>
      </c>
      <c r="M5" s="20">
        <v>387667</v>
      </c>
      <c r="N5" s="20">
        <v>399225</v>
      </c>
      <c r="O5" s="20">
        <v>418674</v>
      </c>
      <c r="P5" s="20">
        <v>441388</v>
      </c>
      <c r="Q5" s="20">
        <v>460357</v>
      </c>
    </row>
    <row r="6" spans="1:19" s="29" customFormat="1" x14ac:dyDescent="0.2">
      <c r="A6" s="29" t="s">
        <v>156</v>
      </c>
    </row>
    <row r="8" spans="1:19" x14ac:dyDescent="0.2">
      <c r="B8">
        <v>2004</v>
      </c>
      <c r="C8">
        <v>2005</v>
      </c>
      <c r="D8">
        <v>2006</v>
      </c>
      <c r="E8">
        <v>2007</v>
      </c>
      <c r="F8">
        <v>2008</v>
      </c>
      <c r="G8">
        <v>2009</v>
      </c>
      <c r="H8">
        <v>2010</v>
      </c>
      <c r="I8">
        <v>2011</v>
      </c>
      <c r="J8">
        <v>2012</v>
      </c>
      <c r="K8">
        <v>2013</v>
      </c>
      <c r="L8">
        <v>2014</v>
      </c>
      <c r="M8">
        <v>2015</v>
      </c>
      <c r="N8">
        <v>2016</v>
      </c>
      <c r="O8">
        <v>2017</v>
      </c>
      <c r="P8">
        <v>2018</v>
      </c>
      <c r="Q8">
        <v>2019</v>
      </c>
      <c r="R8">
        <v>2020</v>
      </c>
      <c r="S8">
        <v>2021</v>
      </c>
    </row>
    <row r="9" spans="1:19" x14ac:dyDescent="0.2">
      <c r="A9" t="s">
        <v>159</v>
      </c>
      <c r="B9">
        <f>B4/B10</f>
        <v>318854.5004009768</v>
      </c>
      <c r="C9">
        <f t="shared" ref="C9:P9" si="0">C4/C10</f>
        <v>326412.70924267755</v>
      </c>
      <c r="D9">
        <f t="shared" si="0"/>
        <v>332115.2781904288</v>
      </c>
      <c r="E9">
        <f t="shared" si="0"/>
        <v>339501.67006340576</v>
      </c>
      <c r="F9">
        <f t="shared" si="0"/>
        <v>348887.33961493504</v>
      </c>
      <c r="G9">
        <f t="shared" si="0"/>
        <v>354375.91332829429</v>
      </c>
      <c r="H9">
        <f t="shared" si="0"/>
        <v>351162.36415683327</v>
      </c>
      <c r="I9">
        <f t="shared" si="0"/>
        <v>356582.42687152245</v>
      </c>
      <c r="J9">
        <f t="shared" si="0"/>
        <v>369232.51582854235</v>
      </c>
      <c r="K9">
        <f t="shared" si="0"/>
        <v>392580.97527059587</v>
      </c>
      <c r="L9">
        <f t="shared" si="0"/>
        <v>392799.90395581973</v>
      </c>
      <c r="M9">
        <f t="shared" si="0"/>
        <v>394201.83176465624</v>
      </c>
      <c r="N9">
        <f t="shared" si="0"/>
        <v>399635.37991617928</v>
      </c>
      <c r="O9">
        <f t="shared" si="0"/>
        <v>410310.06162970251</v>
      </c>
      <c r="P9">
        <f t="shared" si="0"/>
        <v>429448.17781208787</v>
      </c>
      <c r="Q9">
        <f>Q4/Q10</f>
        <v>443180.85956946108</v>
      </c>
      <c r="R9">
        <f>R4/R10</f>
        <v>460166.66666666669</v>
      </c>
      <c r="S9">
        <f>S4/S10</f>
        <v>434089.6700072363</v>
      </c>
    </row>
    <row r="10" spans="1:19" x14ac:dyDescent="0.2">
      <c r="A10" t="s">
        <v>157</v>
      </c>
      <c r="B10">
        <v>0.78689759036144569</v>
      </c>
      <c r="C10">
        <v>0.80496987951807231</v>
      </c>
      <c r="D10">
        <v>0.81852409638554213</v>
      </c>
      <c r="E10">
        <v>0.83132530120481929</v>
      </c>
      <c r="F10">
        <v>0.84864457831325302</v>
      </c>
      <c r="G10">
        <v>0.85391566265060237</v>
      </c>
      <c r="H10">
        <v>0.86445783132530118</v>
      </c>
      <c r="I10">
        <v>0.89081325301204806</v>
      </c>
      <c r="J10">
        <v>0.90963855421686735</v>
      </c>
      <c r="K10">
        <v>0.91641566265060237</v>
      </c>
      <c r="L10">
        <v>0.92921686746987942</v>
      </c>
      <c r="M10">
        <v>0.93900602409638545</v>
      </c>
      <c r="N10">
        <v>0.94578313253012036</v>
      </c>
      <c r="O10">
        <v>0.95557228915662651</v>
      </c>
      <c r="P10">
        <v>0.97138554216867468</v>
      </c>
      <c r="Q10">
        <v>0.9917168674698793</v>
      </c>
      <c r="R10">
        <v>1</v>
      </c>
      <c r="S10">
        <f>R10*1.019</f>
        <v>1.0189999999999999</v>
      </c>
    </row>
    <row r="11" spans="1:19" x14ac:dyDescent="0.2">
      <c r="A11" s="30" t="s">
        <v>158</v>
      </c>
    </row>
    <row r="15" spans="1:19" x14ac:dyDescent="0.2">
      <c r="O15" s="20"/>
      <c r="P15" s="33"/>
    </row>
  </sheetData>
  <hyperlinks>
    <hyperlink ref="A11" r:id="rId1" xr:uid="{A4A4CB8F-22FC-0A41-85F2-78B67168E56C}"/>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7"/>
  <dimension ref="A1:B10"/>
  <sheetViews>
    <sheetView workbookViewId="0">
      <selection activeCell="A10" sqref="A10"/>
    </sheetView>
  </sheetViews>
  <sheetFormatPr baseColWidth="10" defaultRowHeight="16" x14ac:dyDescent="0.2"/>
  <sheetData>
    <row r="1" spans="1:2" x14ac:dyDescent="0.2">
      <c r="A1" t="s">
        <v>79</v>
      </c>
      <c r="B1" t="s">
        <v>81</v>
      </c>
    </row>
    <row r="2" spans="1:2" x14ac:dyDescent="0.2">
      <c r="A2">
        <v>2017</v>
      </c>
      <c r="B2">
        <v>1579</v>
      </c>
    </row>
    <row r="3" spans="1:2" x14ac:dyDescent="0.2">
      <c r="A3">
        <v>2018</v>
      </c>
      <c r="B3">
        <v>1881</v>
      </c>
    </row>
    <row r="4" spans="1:2" x14ac:dyDescent="0.2">
      <c r="A4">
        <v>2019</v>
      </c>
      <c r="B4">
        <v>2083</v>
      </c>
    </row>
    <row r="5" spans="1:2" x14ac:dyDescent="0.2">
      <c r="A5">
        <v>2020</v>
      </c>
      <c r="B5">
        <v>2142</v>
      </c>
    </row>
    <row r="6" spans="1:2" x14ac:dyDescent="0.2">
      <c r="A6">
        <v>2021</v>
      </c>
      <c r="B6">
        <v>2325</v>
      </c>
    </row>
    <row r="7" spans="1:2" x14ac:dyDescent="0.2">
      <c r="A7">
        <v>2022</v>
      </c>
      <c r="B7">
        <f>3080-605</f>
        <v>2475</v>
      </c>
    </row>
    <row r="8" spans="1:2" x14ac:dyDescent="0.2">
      <c r="A8">
        <v>2023</v>
      </c>
      <c r="B8">
        <f>3208-753</f>
        <v>2455</v>
      </c>
    </row>
    <row r="9" spans="1:2" x14ac:dyDescent="0.2">
      <c r="A9">
        <v>2024</v>
      </c>
      <c r="B9">
        <f>3777-914</f>
        <v>2863</v>
      </c>
    </row>
    <row r="10" spans="1:2" x14ac:dyDescent="0.2">
      <c r="A10">
        <v>2025</v>
      </c>
      <c r="B10">
        <f>4109-1096</f>
        <v>3013</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60EE-34FC-8C41-ACE3-9D290C0CC597}">
  <sheetPr codeName="Feuil8"/>
  <dimension ref="A1:T13"/>
  <sheetViews>
    <sheetView workbookViewId="0">
      <selection activeCell="E25" sqref="E25"/>
    </sheetView>
  </sheetViews>
  <sheetFormatPr baseColWidth="10" defaultRowHeight="16" x14ac:dyDescent="0.2"/>
  <cols>
    <col min="1" max="1" width="37.33203125" customWidth="1"/>
  </cols>
  <sheetData>
    <row r="1" spans="1:20" x14ac:dyDescent="0.2">
      <c r="A1" t="s">
        <v>149</v>
      </c>
      <c r="B1">
        <v>2006</v>
      </c>
      <c r="C1">
        <v>2007</v>
      </c>
      <c r="D1">
        <v>2008</v>
      </c>
      <c r="E1">
        <v>2009</v>
      </c>
      <c r="F1">
        <v>2010</v>
      </c>
      <c r="G1">
        <v>2011</v>
      </c>
      <c r="H1">
        <v>2012</v>
      </c>
      <c r="I1">
        <v>2013</v>
      </c>
      <c r="J1">
        <v>2014</v>
      </c>
      <c r="K1">
        <v>2015</v>
      </c>
      <c r="L1">
        <v>2016</v>
      </c>
      <c r="M1">
        <v>2017</v>
      </c>
      <c r="N1">
        <v>2018</v>
      </c>
      <c r="O1">
        <v>2019</v>
      </c>
      <c r="P1">
        <v>2020</v>
      </c>
      <c r="Q1">
        <v>2021</v>
      </c>
    </row>
    <row r="2" spans="1:20" x14ac:dyDescent="0.2">
      <c r="A2" t="s">
        <v>139</v>
      </c>
      <c r="G2" s="20">
        <f>FARR_constant!G16</f>
        <v>77058</v>
      </c>
      <c r="H2" s="20">
        <f>FARR_constant!H16</f>
        <v>80051</v>
      </c>
      <c r="I2" s="20">
        <f>FARR_constant!I16</f>
        <v>82477</v>
      </c>
      <c r="J2" s="20">
        <f>FARR_constant!J16</f>
        <v>87629</v>
      </c>
      <c r="K2" s="20">
        <f>FARR_constant!K16</f>
        <v>91859</v>
      </c>
      <c r="L2" s="20">
        <f>FARR_constant!L16</f>
        <v>94659</v>
      </c>
      <c r="M2" s="20">
        <f>FARR_constant!M16</f>
        <v>97757</v>
      </c>
      <c r="N2" s="20">
        <f>FARR_constant!N16</f>
        <v>99666</v>
      </c>
      <c r="O2" s="20">
        <f>FARR_constant!O16</f>
        <v>106993</v>
      </c>
      <c r="P2" s="20">
        <f>FARR_constant!P16</f>
        <v>110835</v>
      </c>
      <c r="Q2" s="140">
        <f>calculs_pension_balance!Q2</f>
        <v>113750</v>
      </c>
    </row>
    <row r="3" spans="1:20" x14ac:dyDescent="0.2">
      <c r="A3" t="s">
        <v>140</v>
      </c>
      <c r="G3">
        <f>FARR_constant!G17</f>
        <v>1898</v>
      </c>
      <c r="H3">
        <f>FARR_constant!H17</f>
        <v>1966</v>
      </c>
      <c r="I3">
        <f>FARR_constant!I17</f>
        <v>2058</v>
      </c>
      <c r="J3">
        <f>FARR_constant!J17</f>
        <v>2230</v>
      </c>
      <c r="K3">
        <f>FARR_constant!K17</f>
        <v>2280</v>
      </c>
      <c r="L3">
        <f>FARR_constant!L17</f>
        <v>2297</v>
      </c>
      <c r="M3">
        <f>FARR_constant!M17</f>
        <v>2328</v>
      </c>
      <c r="N3">
        <f>FARR_constant!N17</f>
        <v>2378</v>
      </c>
      <c r="O3">
        <f>FARR_constant!O17</f>
        <v>2579</v>
      </c>
      <c r="P3">
        <f>FARR_constant!P17</f>
        <v>2677</v>
      </c>
      <c r="Q3" s="140">
        <f>calculs_pension_balance!Q3</f>
        <v>2680.1160884986675</v>
      </c>
    </row>
    <row r="4" spans="1:20" x14ac:dyDescent="0.2">
      <c r="A4" t="s">
        <v>141</v>
      </c>
      <c r="G4">
        <f>FARR_constant!G18</f>
        <v>4928</v>
      </c>
      <c r="H4">
        <f>FARR_constant!H18</f>
        <v>5045</v>
      </c>
      <c r="I4">
        <f>FARR_constant!I18</f>
        <v>5205</v>
      </c>
      <c r="J4">
        <f>FARR_constant!J18</f>
        <v>5521</v>
      </c>
      <c r="K4">
        <f>FARR_constant!K18</f>
        <v>5784</v>
      </c>
      <c r="L4">
        <f>FARR_constant!L18</f>
        <v>5947</v>
      </c>
      <c r="M4">
        <f>FARR_constant!M18</f>
        <v>5993</v>
      </c>
      <c r="N4">
        <f>FARR_constant!N18</f>
        <v>6361</v>
      </c>
      <c r="O4">
        <f>FARR_constant!O18</f>
        <v>6596</v>
      </c>
      <c r="P4">
        <f>FARR_constant!P18</f>
        <v>6875</v>
      </c>
      <c r="Q4" s="140">
        <f>calculs_pension_balance!Q4</f>
        <v>7058.1694783675803</v>
      </c>
    </row>
    <row r="5" spans="1:20" x14ac:dyDescent="0.2">
      <c r="A5" t="s">
        <v>143</v>
      </c>
      <c r="G5">
        <f>ABS(FARR_constant!G21)</f>
        <v>4561</v>
      </c>
      <c r="H5">
        <f>ABS(FARR_constant!H21)</f>
        <v>4790</v>
      </c>
      <c r="I5">
        <f>ABS(FARR_constant!I21)</f>
        <v>5027</v>
      </c>
      <c r="J5">
        <f>ABS(FARR_constant!J21)</f>
        <v>5326</v>
      </c>
      <c r="K5">
        <f>ABS(FARR_constant!K21)</f>
        <v>5517</v>
      </c>
      <c r="L5">
        <f>ABS(FARR_constant!L21)</f>
        <v>5774</v>
      </c>
      <c r="M5">
        <f>ABS(FARR_constant!M21)</f>
        <v>6035</v>
      </c>
      <c r="N5">
        <f>ABS(FARR_constant!N21)</f>
        <v>6672</v>
      </c>
      <c r="O5">
        <f>ABS(FARR_constant!O21)</f>
        <v>6948</v>
      </c>
      <c r="P5">
        <f>ABS(FARR_constant!P21)</f>
        <v>6814</v>
      </c>
      <c r="Q5" s="140">
        <f>calculs_pension_balance!Q5</f>
        <v>6862.1384178488215</v>
      </c>
    </row>
    <row r="6" spans="1:20" x14ac:dyDescent="0.2">
      <c r="A6" t="s">
        <v>142</v>
      </c>
      <c r="G6">
        <f>FARR_constant!G19+FARR_constant!G20+FARR_constant!G22+FARR_constant!G23+FARR_constant!G24+FARR_constant!G25+FARR_constant!G26</f>
        <v>728</v>
      </c>
      <c r="H6">
        <f>FARR_constant!H19+FARR_constant!H20+FARR_constant!H22+FARR_constant!H23+FARR_constant!H24+FARR_constant!H25+FARR_constant!H26</f>
        <v>205</v>
      </c>
      <c r="I6">
        <f>FARR_constant!I19+FARR_constant!I20+FARR_constant!I22+FARR_constant!I23+FARR_constant!I24+FARR_constant!I25+FARR_constant!I26</f>
        <v>2916</v>
      </c>
      <c r="J6">
        <f>FARR_constant!J19+FARR_constant!J20+FARR_constant!J22+FARR_constant!J23+FARR_constant!J24+FARR_constant!J25+FARR_constant!J26</f>
        <v>1805</v>
      </c>
      <c r="K6">
        <f>FARR_constant!K19+FARR_constant!K20+FARR_constant!K22+FARR_constant!K23+FARR_constant!K24+FARR_constant!K25+FARR_constant!K26</f>
        <v>253</v>
      </c>
      <c r="L6">
        <f>FARR_constant!L19+FARR_constant!L20+FARR_constant!L22+FARR_constant!L23+FARR_constant!L24+FARR_constant!L25+FARR_constant!L26</f>
        <v>628</v>
      </c>
      <c r="M6">
        <f>FARR_constant!M19+FARR_constant!M20+FARR_constant!M22+FARR_constant!M23+FARR_constant!M24+FARR_constant!M25+FARR_constant!M26</f>
        <v>-377</v>
      </c>
      <c r="N6">
        <f>FARR_constant!N19+FARR_constant!N20+FARR_constant!N22+FARR_constant!N23+FARR_constant!N24+FARR_constant!N25+FARR_constant!N26</f>
        <v>5260</v>
      </c>
      <c r="O6">
        <f>FARR_constant!O19+FARR_constant!O20+FARR_constant!O22+FARR_constant!O23+FARR_constant!O24+FARR_constant!O25+FARR_constant!O26</f>
        <v>1615</v>
      </c>
      <c r="P6">
        <f>FARR_constant!P19+FARR_constant!P20+FARR_constant!P22+FARR_constant!P23+FARR_constant!P24+FARR_constant!P25+FARR_constant!P26</f>
        <v>177</v>
      </c>
      <c r="Q6" s="140">
        <f>calculs_pension_balance!Q6</f>
        <v>987.23898813960045</v>
      </c>
    </row>
    <row r="7" spans="1:20" x14ac:dyDescent="0.2">
      <c r="A7" t="s">
        <v>153</v>
      </c>
      <c r="G7" s="20">
        <f t="shared" ref="G7:O7" si="0">G2+G3+G4-G5+G6</f>
        <v>80051</v>
      </c>
      <c r="H7" s="20">
        <f t="shared" si="0"/>
        <v>82477</v>
      </c>
      <c r="I7" s="20">
        <f t="shared" si="0"/>
        <v>87629</v>
      </c>
      <c r="J7" s="20">
        <f t="shared" si="0"/>
        <v>91859</v>
      </c>
      <c r="K7" s="20">
        <f t="shared" si="0"/>
        <v>94659</v>
      </c>
      <c r="L7" s="20">
        <f t="shared" si="0"/>
        <v>97757</v>
      </c>
      <c r="M7" s="20">
        <f t="shared" si="0"/>
        <v>99666</v>
      </c>
      <c r="N7" s="20">
        <f t="shared" si="0"/>
        <v>106993</v>
      </c>
      <c r="O7" s="20">
        <f t="shared" si="0"/>
        <v>110835</v>
      </c>
      <c r="P7" s="20">
        <f>P2+P3+P4-P5+P6</f>
        <v>113750</v>
      </c>
      <c r="Q7" s="140">
        <f>calculs_pension_balance!Q7</f>
        <v>115015.66138704018</v>
      </c>
    </row>
    <row r="8" spans="1:20" x14ac:dyDescent="0.2">
      <c r="A8" t="s">
        <v>144</v>
      </c>
      <c r="G8">
        <f>FARR_constant!G29</f>
        <v>-4984</v>
      </c>
      <c r="H8">
        <f>FARR_constant!H29</f>
        <v>-4540</v>
      </c>
      <c r="I8">
        <f>FARR_constant!I29</f>
        <v>-6838</v>
      </c>
      <c r="J8">
        <f>FARR_constant!J29</f>
        <v>-7752</v>
      </c>
      <c r="K8">
        <f>FARR_constant!K29</f>
        <v>-6943</v>
      </c>
      <c r="L8">
        <f>FARR_constant!L29</f>
        <v>-6509</v>
      </c>
      <c r="M8">
        <f>FARR_constant!M29</f>
        <v>-5304</v>
      </c>
      <c r="N8">
        <f>FARR_constant!N29</f>
        <v>-4239</v>
      </c>
      <c r="O8">
        <f>FARR_constant!O29</f>
        <v>-5179</v>
      </c>
      <c r="P8">
        <f>FARR_constant!P29</f>
        <v>-4440</v>
      </c>
      <c r="Q8" s="140">
        <f>calculs_pension_balance!Q8</f>
        <v>-4425.3751573773261</v>
      </c>
    </row>
    <row r="9" spans="1:20" x14ac:dyDescent="0.2">
      <c r="A9" t="s">
        <v>147</v>
      </c>
      <c r="G9" s="102">
        <f>-FARR_constant!G7</f>
        <v>46017</v>
      </c>
      <c r="H9" s="102">
        <f>-FARR_constant!H7</f>
        <v>49210</v>
      </c>
      <c r="I9" s="102">
        <f>-FARR_constant!I7</f>
        <v>52432</v>
      </c>
      <c r="J9" s="102">
        <f>-FARR_constant!J7</f>
        <v>55570</v>
      </c>
      <c r="K9" s="102">
        <f>-FARR_constant!K7</f>
        <v>59675</v>
      </c>
      <c r="L9" s="102">
        <f>-FARR_constant!L7</f>
        <v>64550</v>
      </c>
      <c r="M9" s="102">
        <f>-FARR_constant!M7</f>
        <v>69685</v>
      </c>
      <c r="N9" s="102">
        <f>-FARR_constant!N7</f>
        <v>80733</v>
      </c>
      <c r="O9" s="102">
        <f>-FARR_constant!O7</f>
        <v>87075</v>
      </c>
      <c r="P9" s="102">
        <f>-FARR_constant!P7</f>
        <v>94346</v>
      </c>
      <c r="Q9" s="140">
        <f>calculs_pension_balance!Q9</f>
        <v>98045.561479837721</v>
      </c>
    </row>
    <row r="10" spans="1:20" x14ac:dyDescent="0.2">
      <c r="A10" t="s">
        <v>145</v>
      </c>
      <c r="G10" s="102">
        <f>FARR_constant!G11</f>
        <v>1222</v>
      </c>
      <c r="H10" s="102">
        <f>FARR_constant!H11</f>
        <v>1243</v>
      </c>
      <c r="I10" s="102">
        <f>FARR_constant!I11</f>
        <v>1262</v>
      </c>
      <c r="J10" s="102">
        <f>FARR_constant!J11</f>
        <v>1422</v>
      </c>
      <c r="K10" s="102">
        <f>FARR_constant!K11</f>
        <v>1488</v>
      </c>
      <c r="L10" s="102">
        <f>FARR_constant!L11</f>
        <v>1475</v>
      </c>
      <c r="M10" s="102">
        <f>FARR_constant!M11</f>
        <v>1479</v>
      </c>
      <c r="N10" s="102">
        <f>FARR_constant!N11</f>
        <v>1480</v>
      </c>
      <c r="O10" s="102">
        <f>FARR_constant!O11</f>
        <v>1471</v>
      </c>
      <c r="P10" s="102">
        <f>FARR_constant!P11</f>
        <v>1450</v>
      </c>
      <c r="Q10" s="140">
        <f>calculs_pension_balance!Q10</f>
        <v>1506.8584163161629</v>
      </c>
    </row>
    <row r="11" spans="1:20" x14ac:dyDescent="0.2">
      <c r="A11" t="s">
        <v>154</v>
      </c>
      <c r="G11" s="102">
        <f>-FARR_constant!G12</f>
        <v>1147</v>
      </c>
      <c r="H11" s="102">
        <f>-FARR_constant!H12</f>
        <v>1196</v>
      </c>
      <c r="I11" s="102">
        <f>-FARR_constant!I12</f>
        <v>1243</v>
      </c>
      <c r="J11" s="102">
        <f>-FARR_constant!J12</f>
        <v>1287</v>
      </c>
      <c r="K11" s="102">
        <f>-FARR_constant!K12</f>
        <v>1357</v>
      </c>
      <c r="L11" s="102">
        <f>-FARR_constant!L12</f>
        <v>1428</v>
      </c>
      <c r="M11" s="102">
        <f>-FARR_constant!M12</f>
        <v>1509</v>
      </c>
      <c r="N11" s="102">
        <f>-FARR_constant!N12</f>
        <v>1598</v>
      </c>
      <c r="O11" s="102">
        <f>-FARR_constant!O12</f>
        <v>1690</v>
      </c>
      <c r="P11" s="102">
        <f>-FARR_constant!P12</f>
        <v>1698</v>
      </c>
      <c r="Q11" s="140">
        <f>calculs_pension_balance!Q11</f>
        <v>1764.5831661412722</v>
      </c>
    </row>
    <row r="12" spans="1:20" x14ac:dyDescent="0.2">
      <c r="A12" t="s">
        <v>146</v>
      </c>
      <c r="G12" s="20">
        <f t="shared" ref="G12:O12" si="1">G7+G8-G9+G10-G11</f>
        <v>29125</v>
      </c>
      <c r="H12" s="20">
        <f t="shared" si="1"/>
        <v>28774</v>
      </c>
      <c r="I12" s="20">
        <f t="shared" si="1"/>
        <v>28378</v>
      </c>
      <c r="J12" s="20">
        <f t="shared" si="1"/>
        <v>28672</v>
      </c>
      <c r="K12" s="20">
        <f t="shared" si="1"/>
        <v>28172</v>
      </c>
      <c r="L12" s="20">
        <f t="shared" si="1"/>
        <v>26745</v>
      </c>
      <c r="M12" s="20">
        <f t="shared" si="1"/>
        <v>24647</v>
      </c>
      <c r="N12" s="20">
        <f t="shared" si="1"/>
        <v>21903</v>
      </c>
      <c r="O12" s="20">
        <f t="shared" si="1"/>
        <v>18362</v>
      </c>
      <c r="P12" s="20">
        <f>P7+P8-P9+P10-P11</f>
        <v>14716</v>
      </c>
      <c r="Q12" s="140">
        <f>calculs_pension_balance!Q12</f>
        <v>12287</v>
      </c>
      <c r="S12" s="20"/>
    </row>
    <row r="13" spans="1:20" x14ac:dyDescent="0.2">
      <c r="A13" s="28"/>
      <c r="P13" s="20"/>
      <c r="T13" s="2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6FE1-1CCB-4E4B-A7E4-D05DA90F3D48}">
  <sheetPr codeName="Feuil14">
    <tabColor rgb="FFFFFF00"/>
  </sheetPr>
  <dimension ref="A1:U14"/>
  <sheetViews>
    <sheetView workbookViewId="0">
      <selection activeCell="O12" sqref="O12"/>
    </sheetView>
  </sheetViews>
  <sheetFormatPr baseColWidth="10" defaultRowHeight="16" x14ac:dyDescent="0.2"/>
  <cols>
    <col min="1" max="1" width="37.33203125" customWidth="1"/>
  </cols>
  <sheetData>
    <row r="1" spans="1:21" ht="17" thickBot="1" x14ac:dyDescent="0.25">
      <c r="A1" t="s">
        <v>149</v>
      </c>
      <c r="B1">
        <v>2006</v>
      </c>
      <c r="C1">
        <v>2007</v>
      </c>
      <c r="D1">
        <v>2008</v>
      </c>
      <c r="E1">
        <v>2009</v>
      </c>
      <c r="F1">
        <v>2010</v>
      </c>
      <c r="G1">
        <v>2011</v>
      </c>
      <c r="H1">
        <v>2012</v>
      </c>
      <c r="I1">
        <v>2013</v>
      </c>
      <c r="J1">
        <v>2014</v>
      </c>
      <c r="K1">
        <v>2015</v>
      </c>
      <c r="L1">
        <v>2016</v>
      </c>
      <c r="M1">
        <v>2017</v>
      </c>
      <c r="N1">
        <v>2018</v>
      </c>
      <c r="O1">
        <v>2019</v>
      </c>
      <c r="P1">
        <v>2020</v>
      </c>
      <c r="Q1" t="s">
        <v>254</v>
      </c>
      <c r="R1" t="s">
        <v>253</v>
      </c>
    </row>
    <row r="2" spans="1:21" x14ac:dyDescent="0.2">
      <c r="A2" t="s">
        <v>139</v>
      </c>
      <c r="G2" s="20">
        <f>FARR_courant!G16</f>
        <v>77058</v>
      </c>
      <c r="H2" s="20">
        <f>FARR_courant!H16</f>
        <v>80051</v>
      </c>
      <c r="I2" s="20">
        <f>FARR_courant!I16</f>
        <v>82477</v>
      </c>
      <c r="J2" s="20">
        <f>FARR_courant!J16</f>
        <v>87629</v>
      </c>
      <c r="K2" s="20">
        <f>FARR_courant!K16</f>
        <v>91859</v>
      </c>
      <c r="L2" s="20">
        <f>FARR_courant!L16</f>
        <v>94659</v>
      </c>
      <c r="M2" s="20">
        <f>FARR_courant!M16</f>
        <v>97757</v>
      </c>
      <c r="N2" s="20">
        <f>FARR_courant!N16</f>
        <v>99666</v>
      </c>
      <c r="O2" s="20">
        <f>FARR_courant!O16</f>
        <v>106993</v>
      </c>
      <c r="P2" s="171">
        <f>FARR_courant!P16</f>
        <v>110835</v>
      </c>
      <c r="Q2" s="170">
        <f>R2</f>
        <v>113750</v>
      </c>
      <c r="R2" s="130">
        <f>FARR_constant!J61</f>
        <v>113750</v>
      </c>
    </row>
    <row r="3" spans="1:21" x14ac:dyDescent="0.2">
      <c r="A3" t="s">
        <v>140</v>
      </c>
      <c r="G3">
        <f>FARR_courant!G17</f>
        <v>1898</v>
      </c>
      <c r="H3">
        <f>FARR_courant!H17</f>
        <v>1966</v>
      </c>
      <c r="I3">
        <f>FARR_courant!I17</f>
        <v>2058</v>
      </c>
      <c r="J3">
        <f>FARR_courant!J17</f>
        <v>2230</v>
      </c>
      <c r="K3">
        <f>FARR_courant!K17</f>
        <v>2280</v>
      </c>
      <c r="L3">
        <f>FARR_courant!L17</f>
        <v>2297</v>
      </c>
      <c r="M3">
        <f>FARR_courant!M17</f>
        <v>2328</v>
      </c>
      <c r="N3">
        <f>FARR_courant!N17</f>
        <v>2378</v>
      </c>
      <c r="O3">
        <f>FARR_courant!O17</f>
        <v>2579</v>
      </c>
      <c r="P3" s="172">
        <f>FARR_courant!P17</f>
        <v>2677</v>
      </c>
      <c r="Q3" s="170">
        <f>R3/R$12*Q$12</f>
        <v>2680.1160884986675</v>
      </c>
      <c r="R3" s="131">
        <f>FARR_constant!I62+FARR_constant!B62*1.02</f>
        <v>2742.7527181189566</v>
      </c>
    </row>
    <row r="4" spans="1:21" x14ac:dyDescent="0.2">
      <c r="A4" t="s">
        <v>141</v>
      </c>
      <c r="G4">
        <f>FARR_courant!G18</f>
        <v>4928</v>
      </c>
      <c r="H4">
        <f>FARR_courant!H18</f>
        <v>5045</v>
      </c>
      <c r="I4">
        <f>FARR_courant!I18</f>
        <v>5205</v>
      </c>
      <c r="J4">
        <f>FARR_courant!J18</f>
        <v>5521</v>
      </c>
      <c r="K4">
        <f>FARR_courant!K18</f>
        <v>5784</v>
      </c>
      <c r="L4">
        <f>FARR_courant!L18</f>
        <v>5947</v>
      </c>
      <c r="M4">
        <f>FARR_courant!M18</f>
        <v>5993</v>
      </c>
      <c r="N4">
        <f>FARR_courant!N18</f>
        <v>6361</v>
      </c>
      <c r="O4">
        <f>FARR_courant!O18</f>
        <v>6596</v>
      </c>
      <c r="P4" s="172">
        <f>FARR_courant!P18</f>
        <v>6875</v>
      </c>
      <c r="Q4" s="170">
        <f t="shared" ref="Q4:Q11" si="0">R4/R$12*Q$12</f>
        <v>7058.1694783675803</v>
      </c>
      <c r="R4" s="131">
        <f>R2*0.0635</f>
        <v>7223.125</v>
      </c>
    </row>
    <row r="5" spans="1:21" x14ac:dyDescent="0.2">
      <c r="A5" t="s">
        <v>143</v>
      </c>
      <c r="G5">
        <f>ABS(FARR_courant!G21)</f>
        <v>4561</v>
      </c>
      <c r="H5">
        <f>ABS(FARR_courant!H21)</f>
        <v>4790</v>
      </c>
      <c r="I5">
        <f>ABS(FARR_courant!I21)</f>
        <v>5027</v>
      </c>
      <c r="J5">
        <f>ABS(FARR_courant!J21)</f>
        <v>5326</v>
      </c>
      <c r="K5">
        <f>ABS(FARR_courant!K21)</f>
        <v>5517</v>
      </c>
      <c r="L5">
        <f>ABS(FARR_courant!L21)</f>
        <v>5774</v>
      </c>
      <c r="M5">
        <f>ABS(FARR_courant!M21)</f>
        <v>6035</v>
      </c>
      <c r="N5">
        <f>ABS(FARR_courant!N21)</f>
        <v>6672</v>
      </c>
      <c r="O5">
        <f>ABS(FARR_courant!O21)</f>
        <v>6948</v>
      </c>
      <c r="P5" s="172">
        <f>ABS(FARR_courant!P21)</f>
        <v>6814</v>
      </c>
      <c r="Q5" s="170">
        <f t="shared" si="0"/>
        <v>6862.1384178488215</v>
      </c>
      <c r="R5" s="131">
        <f>ABS(FARR_constant!I64+FARR_constant!B64*1.02)</f>
        <v>7022.5125241520773</v>
      </c>
    </row>
    <row r="6" spans="1:21" x14ac:dyDescent="0.2">
      <c r="A6" t="s">
        <v>142</v>
      </c>
      <c r="G6">
        <f>FARR_courant!G19+FARR_courant!G20+FARR_courant!G22+FARR_courant!G23+FARR_courant!G24+FARR_courant!G25+FARR_courant!G26</f>
        <v>728</v>
      </c>
      <c r="H6">
        <f>FARR_courant!H19+FARR_courant!H20+FARR_courant!H22+FARR_courant!H23+FARR_courant!H24+FARR_courant!H25+FARR_courant!H26</f>
        <v>205</v>
      </c>
      <c r="I6">
        <f>FARR_courant!I19+FARR_courant!I20+FARR_courant!I22+FARR_courant!I23+FARR_courant!I24+FARR_courant!I25+FARR_courant!I26</f>
        <v>2916</v>
      </c>
      <c r="J6">
        <f>FARR_courant!J19+FARR_courant!J20+FARR_courant!J22+FARR_courant!J23+FARR_courant!J24+FARR_courant!J25+FARR_courant!J26</f>
        <v>1805</v>
      </c>
      <c r="K6">
        <f>FARR_courant!K19+FARR_courant!K20+FARR_courant!K22+FARR_courant!K23+FARR_courant!K24+FARR_courant!K25+FARR_courant!K26</f>
        <v>253</v>
      </c>
      <c r="L6">
        <f>FARR_courant!L19+FARR_courant!L20+FARR_courant!L22+FARR_courant!L23+FARR_courant!L24+FARR_courant!L25+FARR_courant!L26</f>
        <v>628</v>
      </c>
      <c r="M6">
        <f>FARR_courant!M19+FARR_courant!M20+FARR_courant!M22+FARR_courant!M23+FARR_courant!M24+FARR_courant!M25+FARR_courant!M26</f>
        <v>-377</v>
      </c>
      <c r="N6">
        <f>FARR_courant!N19+FARR_courant!N20+FARR_courant!N22+FARR_courant!N23+FARR_courant!N24+FARR_courant!N25+FARR_courant!N26</f>
        <v>5260</v>
      </c>
      <c r="O6">
        <f>FARR_courant!O19+FARR_courant!O20+FARR_courant!O22+FARR_courant!O23+FARR_courant!O24+FARR_courant!O25+FARR_courant!O26</f>
        <v>1615</v>
      </c>
      <c r="P6" s="172">
        <f>FARR_courant!P19+FARR_courant!P20+FARR_courant!P22+FARR_courant!P23+FARR_courant!P24+FARR_courant!P25+FARR_courant!P26</f>
        <v>177</v>
      </c>
      <c r="Q6" s="170">
        <f t="shared" si="0"/>
        <v>987.23898813960045</v>
      </c>
      <c r="R6" s="131">
        <f>(FARR_constant!J65+FARR_constant!J66)*1.02</f>
        <v>1010.3116166396028</v>
      </c>
    </row>
    <row r="7" spans="1:21" x14ac:dyDescent="0.2">
      <c r="A7" t="s">
        <v>153</v>
      </c>
      <c r="G7" s="20">
        <f t="shared" ref="G7:O7" si="1">G2+G3+G4-G5+G6</f>
        <v>80051</v>
      </c>
      <c r="H7" s="20">
        <f t="shared" si="1"/>
        <v>82477</v>
      </c>
      <c r="I7" s="20">
        <f t="shared" si="1"/>
        <v>87629</v>
      </c>
      <c r="J7" s="20">
        <f t="shared" si="1"/>
        <v>91859</v>
      </c>
      <c r="K7" s="20">
        <f t="shared" si="1"/>
        <v>94659</v>
      </c>
      <c r="L7" s="20">
        <f t="shared" si="1"/>
        <v>97757</v>
      </c>
      <c r="M7" s="20">
        <f t="shared" si="1"/>
        <v>99666</v>
      </c>
      <c r="N7" s="20">
        <f t="shared" si="1"/>
        <v>106993</v>
      </c>
      <c r="O7" s="20">
        <f t="shared" si="1"/>
        <v>110835</v>
      </c>
      <c r="P7" s="171">
        <f>P2+P3+P4-P5+P6</f>
        <v>113750</v>
      </c>
      <c r="Q7" s="170">
        <f t="shared" si="0"/>
        <v>115015.66138704018</v>
      </c>
      <c r="R7" s="131">
        <f>R2+R3+R4-R5+R6</f>
        <v>117703.67681060648</v>
      </c>
    </row>
    <row r="8" spans="1:21" x14ac:dyDescent="0.2">
      <c r="A8" t="s">
        <v>144</v>
      </c>
      <c r="G8" s="20">
        <f>FARR_courant!G29</f>
        <v>-4984</v>
      </c>
      <c r="H8" s="20">
        <f>FARR_courant!H29</f>
        <v>-4540</v>
      </c>
      <c r="I8" s="20">
        <f>FARR_courant!I29</f>
        <v>-6838</v>
      </c>
      <c r="J8" s="20">
        <f>FARR_courant!J29</f>
        <v>-7752</v>
      </c>
      <c r="K8" s="20">
        <f>FARR_courant!K29</f>
        <v>-6943</v>
      </c>
      <c r="L8" s="20">
        <f>FARR_courant!L29</f>
        <v>-6509</v>
      </c>
      <c r="M8" s="20">
        <f>FARR_courant!M29</f>
        <v>-5304</v>
      </c>
      <c r="N8" s="20">
        <f>FARR_courant!N29</f>
        <v>-4239</v>
      </c>
      <c r="O8" s="20">
        <f>FARR_courant!O29</f>
        <v>-5179</v>
      </c>
      <c r="P8" s="171">
        <f>FARR_courant!P29</f>
        <v>-4440</v>
      </c>
      <c r="Q8" s="170">
        <f t="shared" si="0"/>
        <v>-4425.3751573773261</v>
      </c>
      <c r="R8" s="131">
        <f>FARR_constant!J68*1.02</f>
        <v>-4528.8</v>
      </c>
    </row>
    <row r="9" spans="1:21" x14ac:dyDescent="0.2">
      <c r="A9" t="s">
        <v>147</v>
      </c>
      <c r="G9" s="102">
        <f>-FARR_courant!G7</f>
        <v>46017</v>
      </c>
      <c r="H9" s="102">
        <f>-FARR_courant!H7</f>
        <v>49210</v>
      </c>
      <c r="I9" s="102">
        <f>-FARR_courant!I7</f>
        <v>52432</v>
      </c>
      <c r="J9" s="102">
        <f>-FARR_courant!J7</f>
        <v>55570</v>
      </c>
      <c r="K9" s="102">
        <f>-FARR_courant!K7</f>
        <v>59675</v>
      </c>
      <c r="L9" s="102">
        <f>-FARR_courant!L7</f>
        <v>64550</v>
      </c>
      <c r="M9" s="102">
        <f>-FARR_courant!M7</f>
        <v>69685</v>
      </c>
      <c r="N9" s="102">
        <f>-FARR_courant!N7</f>
        <v>80733</v>
      </c>
      <c r="O9" s="102">
        <f>-FARR_courant!O7</f>
        <v>87075</v>
      </c>
      <c r="P9" s="173">
        <f>-FARR_courant!P7</f>
        <v>94346</v>
      </c>
      <c r="Q9" s="170">
        <f t="shared" si="0"/>
        <v>98045.561479837721</v>
      </c>
      <c r="R9" s="131">
        <f>P9*(1.0635)</f>
        <v>100336.97099999999</v>
      </c>
    </row>
    <row r="10" spans="1:21" x14ac:dyDescent="0.2">
      <c r="A10" t="s">
        <v>145</v>
      </c>
      <c r="G10" s="102">
        <f>FARR_courant!G11</f>
        <v>1222</v>
      </c>
      <c r="H10" s="102">
        <f>FARR_courant!H11</f>
        <v>1243</v>
      </c>
      <c r="I10" s="102">
        <f>FARR_courant!I11</f>
        <v>1262</v>
      </c>
      <c r="J10" s="102">
        <f>FARR_courant!J11</f>
        <v>1422</v>
      </c>
      <c r="K10" s="102">
        <f>FARR_courant!K11</f>
        <v>1488</v>
      </c>
      <c r="L10" s="102">
        <f>FARR_courant!L11</f>
        <v>1475</v>
      </c>
      <c r="M10" s="102">
        <f>FARR_courant!M11</f>
        <v>1479</v>
      </c>
      <c r="N10" s="102">
        <f>FARR_courant!N11</f>
        <v>1480</v>
      </c>
      <c r="O10" s="102">
        <f>FARR_courant!O11</f>
        <v>1471</v>
      </c>
      <c r="P10" s="173">
        <f>FARR_courant!P11</f>
        <v>1450</v>
      </c>
      <c r="Q10" s="170">
        <f t="shared" si="0"/>
        <v>1506.8584163161629</v>
      </c>
      <c r="R10" s="131">
        <f>P10*(1.0635)</f>
        <v>1542.0749999999998</v>
      </c>
    </row>
    <row r="11" spans="1:21" x14ac:dyDescent="0.2">
      <c r="A11" t="s">
        <v>154</v>
      </c>
      <c r="G11" s="102">
        <f>-FARR_courant!G12</f>
        <v>1147</v>
      </c>
      <c r="H11" s="102">
        <f>-FARR_courant!H12</f>
        <v>1196</v>
      </c>
      <c r="I11" s="102">
        <f>-FARR_courant!I12</f>
        <v>1243</v>
      </c>
      <c r="J11" s="102">
        <f>-FARR_courant!J12</f>
        <v>1287</v>
      </c>
      <c r="K11" s="102">
        <f>-FARR_courant!K12</f>
        <v>1357</v>
      </c>
      <c r="L11" s="102">
        <f>-FARR_courant!L12</f>
        <v>1428</v>
      </c>
      <c r="M11" s="102">
        <f>-FARR_courant!M12</f>
        <v>1509</v>
      </c>
      <c r="N11" s="102">
        <f>-FARR_courant!N12</f>
        <v>1598</v>
      </c>
      <c r="O11" s="102">
        <f>-FARR_courant!O12</f>
        <v>1690</v>
      </c>
      <c r="P11" s="173">
        <f>-FARR_courant!P12</f>
        <v>1698</v>
      </c>
      <c r="Q11" s="170">
        <f t="shared" si="0"/>
        <v>1764.5831661412722</v>
      </c>
      <c r="R11" s="131">
        <f t="shared" ref="R11" si="2">P11*(1.0635)</f>
        <v>1805.8229999999999</v>
      </c>
    </row>
    <row r="12" spans="1:21" ht="17" thickBot="1" x14ac:dyDescent="0.25">
      <c r="A12" t="s">
        <v>146</v>
      </c>
      <c r="G12" s="20">
        <f t="shared" ref="G12:N12" si="3">G7+G8-G9+G10-G11</f>
        <v>29125</v>
      </c>
      <c r="H12" s="20">
        <f t="shared" si="3"/>
        <v>28774</v>
      </c>
      <c r="I12" s="20">
        <f t="shared" si="3"/>
        <v>28378</v>
      </c>
      <c r="J12" s="20">
        <f t="shared" si="3"/>
        <v>28672</v>
      </c>
      <c r="K12" s="20">
        <f t="shared" si="3"/>
        <v>28172</v>
      </c>
      <c r="L12" s="20">
        <f t="shared" si="3"/>
        <v>26745</v>
      </c>
      <c r="M12" s="20">
        <f t="shared" si="3"/>
        <v>24647</v>
      </c>
      <c r="N12" s="20">
        <f t="shared" si="3"/>
        <v>21903</v>
      </c>
      <c r="O12" s="20">
        <f>O7+O8-O9+O10-O11</f>
        <v>18362</v>
      </c>
      <c r="P12" s="171">
        <f>P7+P8-P9+P10-P11</f>
        <v>14716</v>
      </c>
      <c r="Q12" s="171">
        <f>Consolidé!Q74</f>
        <v>12287</v>
      </c>
      <c r="R12" s="139">
        <f>R7+R8+R10-R11-R9</f>
        <v>12574.157810606484</v>
      </c>
      <c r="T12" s="20"/>
    </row>
    <row r="13" spans="1:21" x14ac:dyDescent="0.2">
      <c r="A13" s="28"/>
      <c r="P13" s="141" t="s">
        <v>255</v>
      </c>
      <c r="Q13" s="142">
        <f>Q7+Q8-Q9+Q10-Q11-Q12</f>
        <v>2.9103830456733704E-11</v>
      </c>
      <c r="U13" s="20"/>
    </row>
    <row r="14" spans="1:21" x14ac:dyDescent="0.2">
      <c r="P14" s="141" t="s">
        <v>256</v>
      </c>
      <c r="Q14" s="141">
        <f>R12/Q12</f>
        <v>1.0233708643775115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69AAF-4F2E-0747-BEAD-49A29551A5F5}">
  <sheetPr codeName="Feuil12"/>
  <dimension ref="A1:D9"/>
  <sheetViews>
    <sheetView workbookViewId="0">
      <selection activeCell="B9" sqref="B9"/>
    </sheetView>
  </sheetViews>
  <sheetFormatPr baseColWidth="10" defaultRowHeight="16" x14ac:dyDescent="0.2"/>
  <cols>
    <col min="2" max="3" width="18.6640625" customWidth="1"/>
    <col min="4" max="4" width="20.83203125" customWidth="1"/>
  </cols>
  <sheetData>
    <row r="1" spans="1:4" x14ac:dyDescent="0.2">
      <c r="A1" t="s">
        <v>79</v>
      </c>
      <c r="B1" t="s">
        <v>116</v>
      </c>
      <c r="C1" t="s">
        <v>117</v>
      </c>
      <c r="D1" t="s">
        <v>118</v>
      </c>
    </row>
    <row r="2" spans="1:4" x14ac:dyDescent="0.2">
      <c r="A2">
        <v>2019</v>
      </c>
      <c r="B2">
        <v>2.9423692796535839E-3</v>
      </c>
      <c r="C2">
        <v>4.5611264527963347E-3</v>
      </c>
      <c r="D2">
        <v>6.8155806925309093E-3</v>
      </c>
    </row>
    <row r="3" spans="1:4" x14ac:dyDescent="0.2">
      <c r="A3">
        <v>2020</v>
      </c>
      <c r="B3">
        <v>3.9957903450503745E-3</v>
      </c>
      <c r="C3">
        <v>-5.1092289365826079E-3</v>
      </c>
      <c r="D3">
        <v>7.8852288558218415E-3</v>
      </c>
    </row>
    <row r="4" spans="1:4" x14ac:dyDescent="0.2">
      <c r="A4">
        <v>2021</v>
      </c>
      <c r="B4">
        <v>5.7005073636830269E-3</v>
      </c>
      <c r="C4">
        <v>1.6578749950645559E-3</v>
      </c>
      <c r="D4">
        <v>7.6978718363801485E-3</v>
      </c>
    </row>
    <row r="5" spans="1:4" x14ac:dyDescent="0.2">
      <c r="A5">
        <v>2022</v>
      </c>
      <c r="B5">
        <v>5.8958868894601552E-3</v>
      </c>
      <c r="C5">
        <v>-7.7577459071844152E-4</v>
      </c>
      <c r="D5">
        <v>9.714309874944432E-3</v>
      </c>
    </row>
    <row r="6" spans="1:4" x14ac:dyDescent="0.2">
      <c r="A6">
        <v>2023</v>
      </c>
      <c r="B6">
        <v>3.8460321081296872E-3</v>
      </c>
      <c r="C6">
        <v>2.2072200518976875E-4</v>
      </c>
      <c r="D6">
        <v>9.252744589238358E-3</v>
      </c>
    </row>
    <row r="7" spans="1:4" x14ac:dyDescent="0.2">
      <c r="A7">
        <v>2024</v>
      </c>
      <c r="B7">
        <v>3.4111038445368332E-3</v>
      </c>
      <c r="C7">
        <v>1.4378474330826363E-3</v>
      </c>
      <c r="D7">
        <v>9.0224926425935426E-3</v>
      </c>
    </row>
    <row r="8" spans="1:4" x14ac:dyDescent="0.2">
      <c r="A8">
        <v>2025</v>
      </c>
      <c r="B8">
        <v>3.3146289050715455E-3</v>
      </c>
      <c r="C8">
        <v>-2.3814728692964256E-3</v>
      </c>
      <c r="D8">
        <v>8.9337315566447133E-3</v>
      </c>
    </row>
    <row r="9" spans="1:4" x14ac:dyDescent="0.2">
      <c r="A9">
        <v>2026</v>
      </c>
      <c r="B9">
        <v>4.4103404257854603E-3</v>
      </c>
      <c r="C9">
        <v>1.4626978614259908E-4</v>
      </c>
      <c r="D9">
        <v>9.1972102571567758E-3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CDCB3-77E8-7B4A-BE8D-9092E771D83A}">
  <sheetPr codeName="Feuil10"/>
  <dimension ref="A1:B21"/>
  <sheetViews>
    <sheetView topLeftCell="A4" workbookViewId="0">
      <selection activeCell="B21" sqref="B21"/>
    </sheetView>
  </sheetViews>
  <sheetFormatPr baseColWidth="10" defaultRowHeight="16" x14ac:dyDescent="0.2"/>
  <cols>
    <col min="2" max="2" width="21.33203125" customWidth="1"/>
  </cols>
  <sheetData>
    <row r="1" spans="1:2" x14ac:dyDescent="0.2">
      <c r="A1" t="s">
        <v>79</v>
      </c>
      <c r="B1" t="s">
        <v>101</v>
      </c>
    </row>
    <row r="2" spans="1:2" x14ac:dyDescent="0.2">
      <c r="A2">
        <v>2006</v>
      </c>
      <c r="B2" s="20">
        <v>2831</v>
      </c>
    </row>
    <row r="3" spans="1:2" x14ac:dyDescent="0.2">
      <c r="A3">
        <v>2007</v>
      </c>
      <c r="B3" s="20">
        <v>2693</v>
      </c>
    </row>
    <row r="4" spans="1:2" x14ac:dyDescent="0.2">
      <c r="A4">
        <v>2008</v>
      </c>
      <c r="B4" s="20">
        <v>2486</v>
      </c>
    </row>
    <row r="5" spans="1:2" x14ac:dyDescent="0.2">
      <c r="A5">
        <v>2009</v>
      </c>
      <c r="B5" s="20">
        <v>2143</v>
      </c>
    </row>
    <row r="6" spans="1:2" x14ac:dyDescent="0.2">
      <c r="A6">
        <v>2010</v>
      </c>
      <c r="B6" s="20">
        <v>2307</v>
      </c>
    </row>
    <row r="7" spans="1:2" x14ac:dyDescent="0.2">
      <c r="A7">
        <v>2011</v>
      </c>
      <c r="B7" s="20">
        <v>2652</v>
      </c>
    </row>
    <row r="8" spans="1:2" x14ac:dyDescent="0.2">
      <c r="A8">
        <v>2012</v>
      </c>
      <c r="B8" s="20">
        <v>2816</v>
      </c>
    </row>
    <row r="9" spans="1:2" x14ac:dyDescent="0.2">
      <c r="A9">
        <v>2013</v>
      </c>
      <c r="B9" s="20">
        <v>3084</v>
      </c>
    </row>
    <row r="10" spans="1:2" x14ac:dyDescent="0.2">
      <c r="A10">
        <v>2014</v>
      </c>
      <c r="B10" s="20">
        <v>3379</v>
      </c>
    </row>
    <row r="11" spans="1:2" x14ac:dyDescent="0.2">
      <c r="A11">
        <v>2015</v>
      </c>
      <c r="B11" s="20">
        <v>3169</v>
      </c>
    </row>
    <row r="12" spans="1:2" x14ac:dyDescent="0.2">
      <c r="A12">
        <v>2016</v>
      </c>
      <c r="B12" s="20">
        <v>2731</v>
      </c>
    </row>
    <row r="13" spans="1:2" x14ac:dyDescent="0.2">
      <c r="A13">
        <v>2017</v>
      </c>
      <c r="B13" s="20">
        <v>2309</v>
      </c>
    </row>
    <row r="14" spans="1:2" x14ac:dyDescent="0.2">
      <c r="A14">
        <v>2018</v>
      </c>
      <c r="B14" s="20">
        <v>1772</v>
      </c>
    </row>
    <row r="15" spans="1:2" x14ac:dyDescent="0.2">
      <c r="A15">
        <v>2019</v>
      </c>
      <c r="B15" s="20">
        <v>1291</v>
      </c>
    </row>
    <row r="16" spans="1:2" x14ac:dyDescent="0.2">
      <c r="A16">
        <v>2020</v>
      </c>
      <c r="B16">
        <v>901</v>
      </c>
    </row>
    <row r="17" spans="1:2" x14ac:dyDescent="0.2">
      <c r="A17">
        <v>2021</v>
      </c>
      <c r="B17" s="29">
        <v>883</v>
      </c>
    </row>
    <row r="18" spans="1:2" x14ac:dyDescent="0.2">
      <c r="A18">
        <v>2022</v>
      </c>
      <c r="B18" s="29">
        <v>607</v>
      </c>
    </row>
    <row r="19" spans="1:2" x14ac:dyDescent="0.2">
      <c r="A19">
        <v>2023</v>
      </c>
      <c r="B19" s="29">
        <v>452</v>
      </c>
    </row>
    <row r="20" spans="1:2" x14ac:dyDescent="0.2">
      <c r="A20">
        <v>2024</v>
      </c>
      <c r="B20">
        <v>0</v>
      </c>
    </row>
    <row r="21" spans="1:2" x14ac:dyDescent="0.2">
      <c r="A21">
        <v>2025</v>
      </c>
      <c r="B21">
        <v>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AEACB-AD86-3849-AEC2-63385AA8D183}">
  <sheetPr codeName="Feuil9"/>
  <dimension ref="A1:H29"/>
  <sheetViews>
    <sheetView workbookViewId="0">
      <selection activeCell="A3" sqref="A3"/>
    </sheetView>
  </sheetViews>
  <sheetFormatPr baseColWidth="10" defaultRowHeight="16" x14ac:dyDescent="0.2"/>
  <cols>
    <col min="1" max="1" width="78.5" customWidth="1"/>
    <col min="2" max="2" width="32.5" customWidth="1"/>
  </cols>
  <sheetData>
    <row r="1" spans="1:8" x14ac:dyDescent="0.2">
      <c r="A1" t="s">
        <v>149</v>
      </c>
      <c r="B1" t="s">
        <v>150</v>
      </c>
      <c r="C1" t="s">
        <v>151</v>
      </c>
    </row>
    <row r="2" spans="1:8" x14ac:dyDescent="0.2">
      <c r="A2" s="28" t="s">
        <v>140</v>
      </c>
      <c r="B2">
        <f>FARR_constant!B62</f>
        <v>64.463449136231986</v>
      </c>
      <c r="C2" t="s">
        <v>244</v>
      </c>
      <c r="D2" s="22"/>
      <c r="E2" s="22"/>
      <c r="F2" s="22"/>
      <c r="G2" s="22"/>
      <c r="H2" s="22"/>
    </row>
    <row r="3" spans="1:8" x14ac:dyDescent="0.2">
      <c r="A3" s="28" t="s">
        <v>152</v>
      </c>
      <c r="B3" s="27">
        <v>6.3500000000000001E-2</v>
      </c>
      <c r="C3" t="s">
        <v>138</v>
      </c>
      <c r="D3" s="22"/>
      <c r="E3" s="22"/>
      <c r="F3" s="22"/>
      <c r="G3" s="22"/>
      <c r="H3" s="22"/>
    </row>
    <row r="4" spans="1:8" x14ac:dyDescent="0.2">
      <c r="A4" s="28" t="s">
        <v>143</v>
      </c>
      <c r="B4">
        <f>-FARR_constant!B64</f>
        <v>204.42404328635027</v>
      </c>
      <c r="C4" t="s">
        <v>245</v>
      </c>
      <c r="D4" s="22"/>
      <c r="E4" s="22"/>
      <c r="F4" s="22"/>
      <c r="G4" s="22"/>
      <c r="H4" s="22"/>
    </row>
    <row r="5" spans="1:8" x14ac:dyDescent="0.2">
      <c r="A5" s="28" t="s">
        <v>142</v>
      </c>
      <c r="B5" s="102">
        <f>FARR_constant!B65+FARR_constant!B66</f>
        <v>990.50158494078698</v>
      </c>
      <c r="C5" t="s">
        <v>247</v>
      </c>
      <c r="D5" s="22"/>
      <c r="E5" s="22"/>
      <c r="F5" s="22"/>
      <c r="G5" s="22"/>
      <c r="H5" s="22"/>
    </row>
    <row r="6" spans="1:8" x14ac:dyDescent="0.2">
      <c r="A6" s="28"/>
      <c r="B6" s="20"/>
      <c r="D6" s="22"/>
      <c r="E6" s="22"/>
      <c r="F6" s="22"/>
      <c r="G6" s="22"/>
      <c r="H6" s="22"/>
    </row>
    <row r="7" spans="1:8" x14ac:dyDescent="0.2">
      <c r="A7" s="24"/>
      <c r="B7" s="22"/>
      <c r="C7" s="22"/>
      <c r="D7" s="22"/>
      <c r="E7" s="22"/>
      <c r="F7" s="22"/>
      <c r="G7" s="22"/>
      <c r="H7" s="22"/>
    </row>
    <row r="8" spans="1:8" x14ac:dyDescent="0.2">
      <c r="A8" s="24"/>
      <c r="B8" s="22"/>
      <c r="C8" s="22"/>
      <c r="D8" s="22"/>
      <c r="E8" s="22"/>
      <c r="F8" s="22"/>
      <c r="G8" s="22"/>
      <c r="H8" s="22"/>
    </row>
    <row r="9" spans="1:8" x14ac:dyDescent="0.2">
      <c r="A9" s="24"/>
      <c r="B9" s="22"/>
      <c r="C9" s="22"/>
      <c r="D9" s="22"/>
      <c r="E9" s="22"/>
      <c r="F9" s="22"/>
      <c r="G9" s="22"/>
      <c r="H9" s="22"/>
    </row>
    <row r="10" spans="1:8" x14ac:dyDescent="0.2">
      <c r="A10" s="24"/>
      <c r="B10" s="22"/>
      <c r="C10" s="22"/>
      <c r="D10" s="22"/>
      <c r="E10" s="22"/>
      <c r="F10" s="22"/>
      <c r="G10" s="22"/>
      <c r="H10" s="22"/>
    </row>
    <row r="11" spans="1:8" x14ac:dyDescent="0.2">
      <c r="A11" s="24"/>
      <c r="B11" s="22"/>
      <c r="C11" s="22"/>
      <c r="D11" s="22"/>
      <c r="E11" s="22"/>
      <c r="F11" s="22"/>
      <c r="G11" s="22"/>
      <c r="H11" s="22"/>
    </row>
    <row r="12" spans="1:8" x14ac:dyDescent="0.2">
      <c r="A12" s="25"/>
      <c r="B12" s="22"/>
      <c r="C12" s="22"/>
      <c r="D12" s="22"/>
      <c r="E12" s="22"/>
      <c r="F12" s="22"/>
      <c r="G12" s="22"/>
      <c r="H12" s="22"/>
    </row>
    <row r="13" spans="1:8" x14ac:dyDescent="0.2">
      <c r="A13" s="26"/>
      <c r="B13" s="23"/>
      <c r="C13" s="22"/>
      <c r="D13" s="22"/>
      <c r="E13" s="22"/>
      <c r="F13" s="22"/>
      <c r="G13" s="22"/>
      <c r="H13" s="22"/>
    </row>
    <row r="14" spans="1:8" x14ac:dyDescent="0.2">
      <c r="A14" s="26"/>
      <c r="B14" s="22"/>
      <c r="C14" s="22"/>
      <c r="D14" s="22"/>
      <c r="E14" s="22"/>
      <c r="F14" s="22"/>
      <c r="G14" s="22"/>
      <c r="H14" s="22"/>
    </row>
    <row r="15" spans="1:8" s="14" customFormat="1" x14ac:dyDescent="0.2">
      <c r="A15" s="123"/>
      <c r="B15" s="124"/>
      <c r="C15" s="125"/>
      <c r="D15" s="125"/>
      <c r="E15" s="125"/>
      <c r="F15" s="125"/>
      <c r="G15" s="125"/>
      <c r="H15" s="125"/>
    </row>
    <row r="16" spans="1:8" s="14" customFormat="1" x14ac:dyDescent="0.2">
      <c r="A16" s="125"/>
      <c r="B16" s="124"/>
      <c r="C16" s="124"/>
      <c r="D16" s="125"/>
      <c r="E16" s="125"/>
      <c r="F16" s="125"/>
      <c r="G16" s="125"/>
      <c r="H16" s="125"/>
    </row>
    <row r="17" spans="1:8" s="14" customFormat="1" x14ac:dyDescent="0.2">
      <c r="A17" s="126"/>
      <c r="B17" s="126"/>
      <c r="C17" s="126"/>
      <c r="D17" s="126"/>
      <c r="E17" s="126"/>
      <c r="F17" s="125"/>
      <c r="G17" s="125"/>
      <c r="H17" s="125"/>
    </row>
    <row r="18" spans="1:8" s="14" customFormat="1" x14ac:dyDescent="0.2">
      <c r="A18" s="125"/>
      <c r="B18" s="125"/>
      <c r="C18" s="125"/>
      <c r="D18" s="125"/>
      <c r="E18" s="125"/>
      <c r="F18" s="125"/>
      <c r="G18" s="125"/>
      <c r="H18" s="125"/>
    </row>
    <row r="19" spans="1:8" s="14" customFormat="1" x14ac:dyDescent="0.2">
      <c r="A19" s="123"/>
      <c r="B19" s="125"/>
      <c r="C19" s="125"/>
      <c r="D19" s="125"/>
      <c r="E19" s="125"/>
      <c r="F19" s="125"/>
      <c r="G19" s="125"/>
      <c r="H19" s="125"/>
    </row>
    <row r="20" spans="1:8" s="14" customFormat="1" x14ac:dyDescent="0.2">
      <c r="A20" s="127"/>
      <c r="B20" s="124"/>
      <c r="C20" s="125"/>
      <c r="D20" s="125"/>
      <c r="E20" s="125"/>
      <c r="F20" s="125"/>
      <c r="G20" s="125"/>
      <c r="H20" s="125"/>
    </row>
    <row r="21" spans="1:8" s="14" customFormat="1" x14ac:dyDescent="0.2">
      <c r="A21" s="127"/>
      <c r="B21" s="124"/>
      <c r="C21" s="128"/>
      <c r="D21" s="125"/>
      <c r="E21" s="125"/>
      <c r="F21" s="125"/>
      <c r="G21" s="125"/>
      <c r="H21" s="125"/>
    </row>
    <row r="22" spans="1:8" s="14" customFormat="1" x14ac:dyDescent="0.2"/>
    <row r="23" spans="1:8" s="14" customFormat="1" x14ac:dyDescent="0.2"/>
    <row r="24" spans="1:8" s="14" customFormat="1" x14ac:dyDescent="0.2"/>
    <row r="25" spans="1:8" s="14" customFormat="1" x14ac:dyDescent="0.2"/>
    <row r="26" spans="1:8" s="14" customFormat="1" x14ac:dyDescent="0.2"/>
    <row r="27" spans="1:8" s="14" customFormat="1" x14ac:dyDescent="0.2"/>
    <row r="28" spans="1:8" s="14" customFormat="1" x14ac:dyDescent="0.2"/>
    <row r="29" spans="1:8" s="14" customFormat="1"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DB3B-78D0-4749-A673-501A2BE73E7B}">
  <sheetPr codeName="Feuil11">
    <tabColor rgb="FFFFFF00"/>
  </sheetPr>
  <dimension ref="A1:Z78"/>
  <sheetViews>
    <sheetView topLeftCell="A47" workbookViewId="0">
      <selection activeCell="K81" sqref="K81"/>
    </sheetView>
  </sheetViews>
  <sheetFormatPr baseColWidth="10" defaultColWidth="10.83203125" defaultRowHeight="15" x14ac:dyDescent="0.2"/>
  <cols>
    <col min="1" max="1" width="66.33203125" style="49" customWidth="1"/>
    <col min="2" max="15" width="11" style="49" customWidth="1"/>
    <col min="16" max="17" width="10.83203125" style="49"/>
    <col min="18" max="18" width="11.1640625" style="49" bestFit="1" customWidth="1"/>
    <col min="19" max="16384" width="10.83203125" style="49"/>
  </cols>
  <sheetData>
    <row r="1" spans="1:18" x14ac:dyDescent="0.2">
      <c r="B1" s="49">
        <v>2006</v>
      </c>
      <c r="C1" s="49">
        <v>2007</v>
      </c>
      <c r="D1" s="49">
        <v>2008</v>
      </c>
      <c r="E1" s="49">
        <v>2009</v>
      </c>
      <c r="F1" s="49">
        <v>2010</v>
      </c>
      <c r="G1" s="49">
        <v>2011</v>
      </c>
      <c r="H1" s="49">
        <v>2012</v>
      </c>
      <c r="I1" s="49">
        <v>2013</v>
      </c>
      <c r="J1" s="49">
        <v>2014</v>
      </c>
      <c r="K1" s="49">
        <v>2015</v>
      </c>
      <c r="L1" s="49">
        <v>2016</v>
      </c>
      <c r="M1" s="49">
        <v>2017</v>
      </c>
      <c r="N1" s="49">
        <v>2018</v>
      </c>
      <c r="O1" s="49">
        <v>2019</v>
      </c>
      <c r="P1" s="49">
        <v>2020</v>
      </c>
    </row>
    <row r="2" spans="1:18" s="103" customFormat="1" x14ac:dyDescent="0.2">
      <c r="A2" s="103" t="s">
        <v>230</v>
      </c>
    </row>
    <row r="4" spans="1:18" x14ac:dyDescent="0.2">
      <c r="A4" s="50" t="s">
        <v>106</v>
      </c>
      <c r="B4" s="51">
        <v>35422</v>
      </c>
      <c r="C4" s="50">
        <v>33596</v>
      </c>
      <c r="D4" s="50">
        <v>31159</v>
      </c>
      <c r="E4" s="50">
        <v>28708</v>
      </c>
      <c r="F4" s="50">
        <v>29921</v>
      </c>
      <c r="G4" s="50">
        <v>29125</v>
      </c>
      <c r="H4" s="50">
        <v>28774</v>
      </c>
      <c r="I4" s="50">
        <v>28378</v>
      </c>
      <c r="J4" s="50">
        <v>28672</v>
      </c>
      <c r="K4" s="50">
        <v>28172</v>
      </c>
      <c r="L4" s="50">
        <v>26745</v>
      </c>
      <c r="M4" s="50">
        <v>24647</v>
      </c>
      <c r="N4" s="50">
        <v>21903</v>
      </c>
      <c r="O4" s="51">
        <v>18362</v>
      </c>
      <c r="P4" s="51">
        <v>14716</v>
      </c>
    </row>
    <row r="5" spans="1:18" x14ac:dyDescent="0.2">
      <c r="A5" s="53" t="s">
        <v>107</v>
      </c>
      <c r="B5" s="49">
        <v>35422</v>
      </c>
      <c r="C5" s="49">
        <v>32844</v>
      </c>
      <c r="D5" s="49">
        <v>30426</v>
      </c>
      <c r="E5" s="49">
        <v>28649</v>
      </c>
      <c r="F5" s="49">
        <v>29789</v>
      </c>
      <c r="G5" s="49">
        <v>29050</v>
      </c>
      <c r="H5" s="49">
        <v>28727</v>
      </c>
      <c r="I5" s="49">
        <v>28359</v>
      </c>
      <c r="J5" s="49">
        <v>28537</v>
      </c>
      <c r="K5" s="49">
        <v>28041</v>
      </c>
      <c r="L5" s="49">
        <v>26698</v>
      </c>
      <c r="M5" s="49">
        <v>24677</v>
      </c>
      <c r="N5" s="49">
        <v>22021</v>
      </c>
      <c r="O5" s="82">
        <v>18581</v>
      </c>
      <c r="P5" s="82">
        <v>14964</v>
      </c>
    </row>
    <row r="6" spans="1:18" x14ac:dyDescent="0.2">
      <c r="A6" s="83" t="s">
        <v>108</v>
      </c>
      <c r="B6" s="60">
        <v>57193</v>
      </c>
      <c r="C6" s="60">
        <v>59721</v>
      </c>
      <c r="D6" s="60">
        <v>62606</v>
      </c>
      <c r="E6" s="60">
        <v>65503</v>
      </c>
      <c r="F6" s="60">
        <v>71370</v>
      </c>
      <c r="G6" s="60">
        <v>75067</v>
      </c>
      <c r="H6" s="60">
        <v>77937</v>
      </c>
      <c r="I6" s="60">
        <v>80791</v>
      </c>
      <c r="J6" s="60">
        <v>84107</v>
      </c>
      <c r="K6" s="60">
        <v>87716</v>
      </c>
      <c r="L6" s="60">
        <v>91248</v>
      </c>
      <c r="M6" s="60">
        <v>94362</v>
      </c>
      <c r="N6" s="60">
        <v>102754</v>
      </c>
      <c r="O6" s="84">
        <v>105656</v>
      </c>
      <c r="P6" s="84">
        <v>109310</v>
      </c>
      <c r="R6" s="168">
        <f t="shared" ref="R6" si="0">(P6/K6)^(1/($P$1-$K$1))-1</f>
        <v>4.4999818660556024E-2</v>
      </c>
    </row>
    <row r="7" spans="1:18" x14ac:dyDescent="0.2">
      <c r="A7" s="83" t="s">
        <v>109</v>
      </c>
      <c r="B7" s="60">
        <v>-22563</v>
      </c>
      <c r="C7" s="60">
        <v>-26877</v>
      </c>
      <c r="D7" s="60">
        <f>D8+D9</f>
        <v>-32180</v>
      </c>
      <c r="E7" s="60">
        <f>E8+E9</f>
        <v>-36854</v>
      </c>
      <c r="F7" s="60">
        <v>-41581</v>
      </c>
      <c r="G7" s="60">
        <v>-46017</v>
      </c>
      <c r="H7" s="60">
        <f>H8+H9</f>
        <v>-49210</v>
      </c>
      <c r="I7" s="60">
        <f>I8+I9</f>
        <v>-52432</v>
      </c>
      <c r="J7" s="60">
        <f t="shared" ref="J7:N7" si="1">J8+J9</f>
        <v>-55570</v>
      </c>
      <c r="K7" s="60">
        <f t="shared" si="1"/>
        <v>-59675</v>
      </c>
      <c r="L7" s="60">
        <f t="shared" si="1"/>
        <v>-64550</v>
      </c>
      <c r="M7" s="60">
        <f t="shared" si="1"/>
        <v>-69685</v>
      </c>
      <c r="N7" s="60">
        <f t="shared" si="1"/>
        <v>-80733</v>
      </c>
      <c r="O7" s="84">
        <f>O8+O9</f>
        <v>-87075</v>
      </c>
      <c r="P7" s="84">
        <f>P8+P9</f>
        <v>-94346</v>
      </c>
      <c r="R7" s="167"/>
    </row>
    <row r="8" spans="1:18" x14ac:dyDescent="0.2">
      <c r="A8" s="85" t="s">
        <v>110</v>
      </c>
      <c r="B8" s="60">
        <v>-22563</v>
      </c>
      <c r="C8" s="60">
        <v>-26877</v>
      </c>
      <c r="D8" s="60">
        <v>-31764</v>
      </c>
      <c r="E8" s="60">
        <v>-36025</v>
      </c>
      <c r="F8" s="86">
        <v>-38200</v>
      </c>
      <c r="G8" s="86">
        <v>-42265</v>
      </c>
      <c r="H8" s="87">
        <v>-45352</v>
      </c>
      <c r="I8" s="87">
        <v>-48344</v>
      </c>
      <c r="J8" s="87">
        <v>-51333</v>
      </c>
      <c r="K8" s="87">
        <v>-55263</v>
      </c>
      <c r="L8" s="87">
        <v>-59738</v>
      </c>
      <c r="M8" s="87">
        <v>-64598</v>
      </c>
      <c r="N8" s="87">
        <v>-75417</v>
      </c>
      <c r="O8" s="88">
        <v>-81344</v>
      </c>
      <c r="P8" s="88">
        <v>-88404</v>
      </c>
      <c r="R8" s="168">
        <f>(P8/K8)^(1/($P$1-$K$1))-1</f>
        <v>9.8518794713176705E-2</v>
      </c>
    </row>
    <row r="9" spans="1:18" x14ac:dyDescent="0.2">
      <c r="A9" s="85" t="s">
        <v>111</v>
      </c>
      <c r="B9" s="87"/>
      <c r="C9" s="87"/>
      <c r="D9" s="87">
        <v>-416</v>
      </c>
      <c r="E9" s="87">
        <v>-829</v>
      </c>
      <c r="F9" s="86">
        <f>F7-F8</f>
        <v>-3381</v>
      </c>
      <c r="G9" s="86">
        <f>G7-G8</f>
        <v>-3752</v>
      </c>
      <c r="H9" s="87">
        <v>-3858</v>
      </c>
      <c r="I9" s="87">
        <v>-4088</v>
      </c>
      <c r="J9" s="87">
        <v>-4237</v>
      </c>
      <c r="K9" s="87">
        <v>-4412</v>
      </c>
      <c r="L9" s="87">
        <v>-4812</v>
      </c>
      <c r="M9" s="87">
        <v>-5087</v>
      </c>
      <c r="N9" s="87">
        <v>-5316</v>
      </c>
      <c r="O9" s="88">
        <v>-5731</v>
      </c>
      <c r="P9" s="88">
        <v>-5942</v>
      </c>
      <c r="R9" s="167"/>
    </row>
    <row r="10" spans="1:18" x14ac:dyDescent="0.2">
      <c r="A10" s="89" t="s">
        <v>112</v>
      </c>
      <c r="B10" s="60">
        <v>792</v>
      </c>
      <c r="C10" s="60">
        <v>752</v>
      </c>
      <c r="D10" s="60">
        <v>733</v>
      </c>
      <c r="E10" s="60">
        <v>59</v>
      </c>
      <c r="F10" s="60">
        <v>132</v>
      </c>
      <c r="G10" s="60">
        <v>75</v>
      </c>
      <c r="H10" s="60">
        <v>47</v>
      </c>
      <c r="I10" s="60">
        <v>19</v>
      </c>
      <c r="J10" s="60">
        <v>135</v>
      </c>
      <c r="K10" s="60">
        <v>131</v>
      </c>
      <c r="L10" s="60">
        <v>47</v>
      </c>
      <c r="M10" s="60">
        <v>-30</v>
      </c>
      <c r="N10" s="60">
        <v>-118</v>
      </c>
      <c r="O10" s="84">
        <v>-219</v>
      </c>
      <c r="P10" s="84">
        <v>-248</v>
      </c>
      <c r="R10" s="167"/>
    </row>
    <row r="11" spans="1:18" x14ac:dyDescent="0.2">
      <c r="A11" s="90" t="s">
        <v>108</v>
      </c>
      <c r="B11" s="87">
        <v>1149</v>
      </c>
      <c r="C11" s="87">
        <v>1176</v>
      </c>
      <c r="D11" s="87">
        <v>1166</v>
      </c>
      <c r="E11" s="87">
        <v>1114</v>
      </c>
      <c r="F11" s="87">
        <v>1238</v>
      </c>
      <c r="G11" s="87">
        <v>1222</v>
      </c>
      <c r="H11" s="87">
        <v>1243</v>
      </c>
      <c r="I11" s="87">
        <v>1262</v>
      </c>
      <c r="J11" s="87">
        <v>1422</v>
      </c>
      <c r="K11" s="87">
        <v>1488</v>
      </c>
      <c r="L11" s="87">
        <v>1475</v>
      </c>
      <c r="M11" s="87">
        <v>1479</v>
      </c>
      <c r="N11" s="87">
        <v>1480</v>
      </c>
      <c r="O11" s="88">
        <v>1471</v>
      </c>
      <c r="P11" s="88">
        <v>1450</v>
      </c>
      <c r="R11" s="167"/>
    </row>
    <row r="12" spans="1:18" x14ac:dyDescent="0.2">
      <c r="A12" s="90" t="s">
        <v>113</v>
      </c>
      <c r="B12" s="87">
        <v>357</v>
      </c>
      <c r="C12" s="87">
        <v>-424</v>
      </c>
      <c r="D12" s="87">
        <v>-433</v>
      </c>
      <c r="E12" s="87">
        <v>-1055</v>
      </c>
      <c r="F12" s="87">
        <v>-1106</v>
      </c>
      <c r="G12" s="87">
        <v>-1147</v>
      </c>
      <c r="H12" s="87">
        <v>-1196</v>
      </c>
      <c r="I12" s="87">
        <v>-1243</v>
      </c>
      <c r="J12" s="87">
        <v>-1287</v>
      </c>
      <c r="K12" s="87">
        <v>-1357</v>
      </c>
      <c r="L12" s="87">
        <v>-1428</v>
      </c>
      <c r="M12" s="87">
        <v>-1509</v>
      </c>
      <c r="N12" s="87">
        <v>-1598</v>
      </c>
      <c r="O12" s="88">
        <v>-1690</v>
      </c>
      <c r="P12" s="88">
        <v>-1698</v>
      </c>
      <c r="R12" s="167"/>
    </row>
    <row r="14" spans="1:18" x14ac:dyDescent="0.2">
      <c r="A14" s="50" t="s">
        <v>231</v>
      </c>
      <c r="B14" s="50"/>
      <c r="C14" s="50"/>
      <c r="D14" s="50"/>
      <c r="E14" s="50"/>
      <c r="F14" s="50"/>
      <c r="G14" s="50"/>
      <c r="H14" s="50"/>
      <c r="I14" s="50"/>
      <c r="J14" s="50"/>
      <c r="K14" s="50"/>
      <c r="L14" s="50"/>
      <c r="M14" s="50"/>
      <c r="N14" s="50"/>
      <c r="O14" s="91"/>
      <c r="P14" s="129"/>
    </row>
    <row r="16" spans="1:18" x14ac:dyDescent="0.2">
      <c r="A16" s="53" t="s">
        <v>124</v>
      </c>
      <c r="E16" s="49">
        <v>67815</v>
      </c>
      <c r="F16" s="49">
        <v>71693</v>
      </c>
      <c r="G16" s="49">
        <v>77058</v>
      </c>
      <c r="H16" s="49">
        <v>80051</v>
      </c>
      <c r="I16" s="49">
        <v>82477</v>
      </c>
      <c r="J16" s="49">
        <v>87629</v>
      </c>
      <c r="K16" s="49">
        <v>91859</v>
      </c>
      <c r="L16" s="49">
        <v>94659</v>
      </c>
      <c r="M16" s="49">
        <v>97757</v>
      </c>
      <c r="N16" s="49">
        <v>99666</v>
      </c>
      <c r="O16" s="49">
        <f>106993</f>
        <v>106993</v>
      </c>
      <c r="P16" s="49">
        <v>110835</v>
      </c>
    </row>
    <row r="17" spans="1:21" x14ac:dyDescent="0.2">
      <c r="A17" s="92" t="s">
        <v>125</v>
      </c>
      <c r="E17" s="49">
        <v>1536</v>
      </c>
      <c r="F17" s="49">
        <v>1806</v>
      </c>
      <c r="G17" s="49">
        <v>1898</v>
      </c>
      <c r="H17" s="49">
        <v>1966</v>
      </c>
      <c r="I17" s="49">
        <v>2058</v>
      </c>
      <c r="J17" s="49">
        <v>2230</v>
      </c>
      <c r="K17" s="49">
        <v>2280</v>
      </c>
      <c r="L17" s="49">
        <v>2297</v>
      </c>
      <c r="M17" s="49">
        <v>2328</v>
      </c>
      <c r="N17" s="49">
        <v>2378</v>
      </c>
      <c r="O17" s="49">
        <v>2579</v>
      </c>
      <c r="P17" s="49">
        <v>2677</v>
      </c>
      <c r="U17" s="24"/>
    </row>
    <row r="18" spans="1:21" x14ac:dyDescent="0.2">
      <c r="A18" s="92" t="s">
        <v>126</v>
      </c>
      <c r="E18" s="49">
        <v>4312</v>
      </c>
      <c r="F18" s="49">
        <v>4714</v>
      </c>
      <c r="G18" s="49">
        <v>4928</v>
      </c>
      <c r="H18" s="49">
        <v>5045</v>
      </c>
      <c r="I18" s="49">
        <v>5205</v>
      </c>
      <c r="J18" s="49">
        <v>5521</v>
      </c>
      <c r="K18" s="49">
        <v>5784</v>
      </c>
      <c r="L18" s="49">
        <v>5947</v>
      </c>
      <c r="M18" s="49">
        <v>5993</v>
      </c>
      <c r="N18" s="49">
        <v>6361</v>
      </c>
      <c r="O18" s="49">
        <v>6596</v>
      </c>
      <c r="P18" s="49">
        <v>6875</v>
      </c>
      <c r="R18" s="138" t="s">
        <v>252</v>
      </c>
      <c r="U18" s="24"/>
    </row>
    <row r="19" spans="1:21" x14ac:dyDescent="0.2">
      <c r="A19" s="132" t="s">
        <v>127</v>
      </c>
      <c r="J19" s="49">
        <v>59</v>
      </c>
      <c r="K19" s="49">
        <v>137</v>
      </c>
      <c r="L19" s="49">
        <v>155</v>
      </c>
      <c r="M19" s="49">
        <v>155</v>
      </c>
      <c r="N19" s="49">
        <v>129</v>
      </c>
      <c r="O19" s="49">
        <v>109</v>
      </c>
      <c r="P19" s="49">
        <v>120</v>
      </c>
      <c r="U19" s="24"/>
    </row>
    <row r="20" spans="1:21" x14ac:dyDescent="0.2">
      <c r="A20" s="132" t="s">
        <v>128</v>
      </c>
      <c r="N20" s="49">
        <v>561</v>
      </c>
      <c r="U20" s="24"/>
    </row>
    <row r="21" spans="1:21" x14ac:dyDescent="0.2">
      <c r="A21" s="132" t="s">
        <v>129</v>
      </c>
      <c r="E21" s="49">
        <v>-4059</v>
      </c>
      <c r="F21" s="49">
        <v>-4490</v>
      </c>
      <c r="G21" s="49">
        <v>-4561</v>
      </c>
      <c r="H21" s="49">
        <v>-4790</v>
      </c>
      <c r="I21" s="49">
        <v>-5027</v>
      </c>
      <c r="J21" s="49">
        <v>-5326</v>
      </c>
      <c r="K21" s="49">
        <v>-5517</v>
      </c>
      <c r="L21" s="49">
        <v>-5774</v>
      </c>
      <c r="M21" s="49">
        <v>-6035</v>
      </c>
      <c r="N21" s="49">
        <v>-6672</v>
      </c>
      <c r="O21" s="49">
        <v>-6948</v>
      </c>
      <c r="P21" s="49">
        <v>-6814</v>
      </c>
      <c r="U21" s="24"/>
    </row>
    <row r="22" spans="1:21" x14ac:dyDescent="0.2">
      <c r="A22" s="132" t="s">
        <v>130</v>
      </c>
      <c r="N22" s="49">
        <v>5032</v>
      </c>
      <c r="U22" s="24"/>
    </row>
    <row r="23" spans="1:21" x14ac:dyDescent="0.2">
      <c r="A23" s="136" t="s">
        <v>131</v>
      </c>
      <c r="E23" s="49">
        <v>23</v>
      </c>
      <c r="F23" s="49">
        <v>159</v>
      </c>
      <c r="G23" s="49">
        <v>520</v>
      </c>
      <c r="H23" s="49">
        <v>13</v>
      </c>
      <c r="I23" s="49">
        <v>24</v>
      </c>
      <c r="J23" s="49">
        <v>28</v>
      </c>
      <c r="K23" s="49">
        <v>33</v>
      </c>
      <c r="L23" s="49">
        <v>24</v>
      </c>
      <c r="M23" s="49">
        <v>24</v>
      </c>
      <c r="N23" s="49">
        <v>35</v>
      </c>
      <c r="O23" s="49">
        <v>24</v>
      </c>
      <c r="P23" s="49">
        <v>41</v>
      </c>
      <c r="U23" s="24"/>
    </row>
    <row r="24" spans="1:21" x14ac:dyDescent="0.2">
      <c r="A24" s="136" t="s">
        <v>132</v>
      </c>
      <c r="G24" s="49">
        <v>-202</v>
      </c>
      <c r="I24" s="49">
        <v>-79</v>
      </c>
      <c r="M24" s="49">
        <v>-672</v>
      </c>
      <c r="N24" s="49">
        <v>-564</v>
      </c>
      <c r="O24" s="49">
        <v>5</v>
      </c>
      <c r="P24" s="49">
        <v>6</v>
      </c>
    </row>
    <row r="25" spans="1:21" x14ac:dyDescent="0.2">
      <c r="A25" s="136" t="s">
        <v>133</v>
      </c>
      <c r="E25" s="49">
        <v>-69</v>
      </c>
      <c r="F25" s="49">
        <v>3161</v>
      </c>
      <c r="G25" s="49">
        <v>392</v>
      </c>
      <c r="H25" s="49">
        <v>219</v>
      </c>
      <c r="I25" s="49">
        <v>2996</v>
      </c>
      <c r="J25" s="49">
        <v>1707</v>
      </c>
      <c r="K25" s="49">
        <v>70</v>
      </c>
      <c r="L25" s="49">
        <v>435</v>
      </c>
      <c r="M25" s="49">
        <v>100</v>
      </c>
      <c r="N25" s="49">
        <v>46</v>
      </c>
      <c r="O25" s="49">
        <v>1469</v>
      </c>
      <c r="P25" s="49">
        <v>10</v>
      </c>
    </row>
    <row r="26" spans="1:21" x14ac:dyDescent="0.2">
      <c r="A26" s="132" t="s">
        <v>134</v>
      </c>
      <c r="E26" s="49">
        <v>-74</v>
      </c>
      <c r="F26" s="49">
        <v>15</v>
      </c>
      <c r="G26" s="49">
        <v>18</v>
      </c>
      <c r="H26" s="49">
        <v>-27</v>
      </c>
      <c r="I26" s="49">
        <v>-25</v>
      </c>
      <c r="J26" s="49">
        <v>11</v>
      </c>
      <c r="K26" s="49">
        <v>13</v>
      </c>
      <c r="L26" s="49">
        <v>14</v>
      </c>
      <c r="M26" s="49">
        <v>16</v>
      </c>
      <c r="N26" s="49">
        <v>21</v>
      </c>
      <c r="O26" s="49">
        <v>8</v>
      </c>
    </row>
    <row r="27" spans="1:21" x14ac:dyDescent="0.2">
      <c r="A27" s="133" t="s">
        <v>135</v>
      </c>
      <c r="B27" s="93"/>
      <c r="C27" s="93"/>
      <c r="D27" s="93"/>
      <c r="E27" s="93">
        <v>2209</v>
      </c>
      <c r="F27" s="93"/>
      <c r="G27" s="93"/>
      <c r="H27" s="93"/>
      <c r="I27" s="93"/>
      <c r="J27" s="93"/>
      <c r="K27" s="93"/>
      <c r="L27" s="93"/>
      <c r="M27" s="93"/>
      <c r="N27" s="93"/>
      <c r="O27" s="93"/>
      <c r="P27" s="93"/>
    </row>
    <row r="28" spans="1:21" x14ac:dyDescent="0.2">
      <c r="A28" s="53" t="s">
        <v>136</v>
      </c>
      <c r="E28" s="49">
        <v>71693</v>
      </c>
      <c r="F28" s="49">
        <v>77058</v>
      </c>
      <c r="G28" s="49">
        <v>80051</v>
      </c>
      <c r="H28" s="49">
        <v>82477</v>
      </c>
      <c r="I28" s="49">
        <v>87629</v>
      </c>
      <c r="J28" s="49">
        <v>91859</v>
      </c>
      <c r="K28" s="49">
        <v>94659</v>
      </c>
      <c r="L28" s="49">
        <v>97757</v>
      </c>
      <c r="M28" s="49">
        <v>99666</v>
      </c>
      <c r="N28" s="49">
        <v>106993</v>
      </c>
      <c r="O28" s="49">
        <f>110835</f>
        <v>110835</v>
      </c>
      <c r="P28" s="49">
        <v>113750</v>
      </c>
    </row>
    <row r="29" spans="1:21" x14ac:dyDescent="0.2">
      <c r="A29" s="53" t="s">
        <v>137</v>
      </c>
      <c r="F29" s="54">
        <v>-5552</v>
      </c>
      <c r="G29" s="54">
        <v>-4984</v>
      </c>
      <c r="H29" s="54">
        <v>-4540</v>
      </c>
      <c r="I29" s="54">
        <v>-6838</v>
      </c>
      <c r="J29" s="54">
        <v>-7752</v>
      </c>
      <c r="K29" s="54">
        <v>-6943</v>
      </c>
      <c r="L29" s="54">
        <v>-6509</v>
      </c>
      <c r="M29" s="54">
        <v>-5304</v>
      </c>
      <c r="N29" s="54">
        <v>-4239</v>
      </c>
      <c r="O29" s="54">
        <v>-5179</v>
      </c>
      <c r="P29" s="54">
        <v>-4440</v>
      </c>
    </row>
    <row r="30" spans="1:21" x14ac:dyDescent="0.2">
      <c r="A30" s="53"/>
      <c r="F30" s="54"/>
      <c r="G30" s="54"/>
      <c r="H30" s="54"/>
      <c r="I30" s="54"/>
      <c r="J30" s="54"/>
      <c r="K30" s="54"/>
      <c r="L30" s="54"/>
      <c r="M30" s="54"/>
      <c r="N30" s="54"/>
      <c r="O30" s="54"/>
      <c r="P30" s="54"/>
    </row>
    <row r="31" spans="1:21" s="103" customFormat="1" x14ac:dyDescent="0.2">
      <c r="A31" s="103" t="s">
        <v>240</v>
      </c>
    </row>
    <row r="32" spans="1:21" x14ac:dyDescent="0.2">
      <c r="A32" s="53"/>
      <c r="F32" s="54"/>
      <c r="G32" s="54"/>
      <c r="H32" s="54"/>
      <c r="I32" s="54"/>
      <c r="J32" s="54"/>
      <c r="K32" s="54"/>
      <c r="L32" s="54"/>
      <c r="M32" s="54"/>
      <c r="N32" s="54"/>
      <c r="O32" s="54"/>
      <c r="P32" s="54"/>
    </row>
    <row r="33" spans="1:18" s="106" customFormat="1" ht="16" x14ac:dyDescent="0.2">
      <c r="A33" s="105" t="s">
        <v>241</v>
      </c>
      <c r="B33" s="107">
        <v>0.81852409638554213</v>
      </c>
      <c r="C33" s="107">
        <v>0.83132530120481929</v>
      </c>
      <c r="D33" s="107">
        <v>0.84864457831325302</v>
      </c>
      <c r="E33" s="107">
        <v>0.85391566265060237</v>
      </c>
      <c r="F33" s="107">
        <v>0.86445783132530118</v>
      </c>
      <c r="G33" s="107">
        <v>0.89081325301204806</v>
      </c>
      <c r="H33" s="107">
        <v>0.90963855421686735</v>
      </c>
      <c r="I33" s="107">
        <v>0.91641566265060237</v>
      </c>
      <c r="J33" s="107">
        <v>0.92921686746987942</v>
      </c>
      <c r="K33" s="107">
        <v>0.93900602409638545</v>
      </c>
      <c r="L33" s="107">
        <v>0.94578313253012036</v>
      </c>
      <c r="M33" s="107">
        <v>0.95557228915662651</v>
      </c>
      <c r="N33" s="107">
        <v>0.97138554216867468</v>
      </c>
      <c r="O33" s="107">
        <v>0.9917168674698793</v>
      </c>
      <c r="P33" s="107">
        <v>1</v>
      </c>
      <c r="Q33" s="107"/>
      <c r="R33" s="108"/>
    </row>
    <row r="34" spans="1:18" ht="16" x14ac:dyDescent="0.2">
      <c r="A34" s="104" t="s">
        <v>158</v>
      </c>
      <c r="B34" s="54"/>
      <c r="C34" s="54"/>
      <c r="D34" s="54"/>
      <c r="E34" s="54"/>
      <c r="F34" s="54"/>
      <c r="G34" s="54"/>
      <c r="H34" s="54"/>
      <c r="I34" s="54"/>
      <c r="J34" s="54"/>
      <c r="K34" s="54"/>
      <c r="L34" s="54"/>
      <c r="M34" s="54"/>
      <c r="N34" s="54"/>
      <c r="O34" s="54"/>
      <c r="P34" s="54"/>
    </row>
    <row r="35" spans="1:18" x14ac:dyDescent="0.2">
      <c r="A35" s="53"/>
      <c r="F35" s="54"/>
      <c r="G35" s="54"/>
      <c r="H35" s="54"/>
      <c r="I35" s="54"/>
      <c r="J35" s="54"/>
      <c r="K35" s="54"/>
      <c r="L35" s="54"/>
      <c r="M35" s="54"/>
      <c r="N35" s="54"/>
      <c r="O35" s="54"/>
      <c r="P35" s="54"/>
    </row>
    <row r="36" spans="1:18" ht="16" x14ac:dyDescent="0.2">
      <c r="A36" s="28" t="s">
        <v>139</v>
      </c>
      <c r="E36" s="110">
        <f t="shared" ref="E36:P36" si="2">E16/E$33</f>
        <v>79416.507936507944</v>
      </c>
      <c r="F36" s="110">
        <f t="shared" si="2"/>
        <v>82934.062717770037</v>
      </c>
      <c r="G36" s="110">
        <f t="shared" si="2"/>
        <v>86502.978867286569</v>
      </c>
      <c r="H36" s="110">
        <f t="shared" si="2"/>
        <v>88003.086092715239</v>
      </c>
      <c r="I36" s="110">
        <f t="shared" si="2"/>
        <v>89999.552999178311</v>
      </c>
      <c r="J36" s="110">
        <f t="shared" si="2"/>
        <v>94304.142625607783</v>
      </c>
      <c r="K36" s="110">
        <f t="shared" si="2"/>
        <v>97825.783480352853</v>
      </c>
      <c r="L36" s="110">
        <f t="shared" si="2"/>
        <v>100085.31210191084</v>
      </c>
      <c r="M36" s="110">
        <f t="shared" si="2"/>
        <v>102302.04570527974</v>
      </c>
      <c r="N36" s="110">
        <f t="shared" si="2"/>
        <v>102601.89767441861</v>
      </c>
      <c r="O36" s="110">
        <f t="shared" si="2"/>
        <v>107886.63933181476</v>
      </c>
      <c r="P36" s="110">
        <f t="shared" si="2"/>
        <v>110835</v>
      </c>
    </row>
    <row r="37" spans="1:18" ht="16" x14ac:dyDescent="0.2">
      <c r="A37" s="28" t="s">
        <v>140</v>
      </c>
      <c r="E37" s="110">
        <f t="shared" ref="E37:O37" si="3">E17/E$33</f>
        <v>1798.7724867724869</v>
      </c>
      <c r="F37" s="110">
        <f t="shared" si="3"/>
        <v>2089.1707317073169</v>
      </c>
      <c r="G37" s="110">
        <f t="shared" si="3"/>
        <v>2130.6373626373629</v>
      </c>
      <c r="H37" s="110">
        <f t="shared" si="3"/>
        <v>2161.2980132450334</v>
      </c>
      <c r="I37" s="110">
        <f t="shared" si="3"/>
        <v>2245.7058340180774</v>
      </c>
      <c r="J37" s="110">
        <f t="shared" si="3"/>
        <v>2399.8703403565642</v>
      </c>
      <c r="K37" s="110">
        <f t="shared" si="3"/>
        <v>2428.0994386527668</v>
      </c>
      <c r="L37" s="110">
        <f t="shared" si="3"/>
        <v>2428.6751592356691</v>
      </c>
      <c r="M37" s="110">
        <f t="shared" si="3"/>
        <v>2436.2364066193854</v>
      </c>
      <c r="N37" s="110">
        <f t="shared" si="3"/>
        <v>2448.049612403101</v>
      </c>
      <c r="O37" s="110">
        <f t="shared" si="3"/>
        <v>2600.5406226271834</v>
      </c>
      <c r="P37" s="110">
        <f>P17/P$33</f>
        <v>2677</v>
      </c>
    </row>
    <row r="38" spans="1:18" ht="16" x14ac:dyDescent="0.2">
      <c r="A38" s="28" t="s">
        <v>141</v>
      </c>
      <c r="E38" s="110">
        <f t="shared" ref="E38:O38" si="4">E18/E$33</f>
        <v>5049.6790123456794</v>
      </c>
      <c r="F38" s="110">
        <f t="shared" si="4"/>
        <v>5453.1289198606273</v>
      </c>
      <c r="G38" s="110">
        <f t="shared" si="4"/>
        <v>5532.0236686390544</v>
      </c>
      <c r="H38" s="110">
        <f t="shared" si="4"/>
        <v>5546.1589403973521</v>
      </c>
      <c r="I38" s="110">
        <f t="shared" si="4"/>
        <v>5679.7370583401807</v>
      </c>
      <c r="J38" s="110">
        <f t="shared" si="4"/>
        <v>5941.5623987034041</v>
      </c>
      <c r="K38" s="110">
        <f t="shared" si="4"/>
        <v>6159.7048917401771</v>
      </c>
      <c r="L38" s="110">
        <f t="shared" si="4"/>
        <v>6287.9108280254786</v>
      </c>
      <c r="M38" s="110">
        <f t="shared" si="4"/>
        <v>6271.6343577620173</v>
      </c>
      <c r="N38" s="110">
        <f t="shared" si="4"/>
        <v>6548.3782945736439</v>
      </c>
      <c r="O38" s="110">
        <f t="shared" si="4"/>
        <v>6651.0918754745644</v>
      </c>
      <c r="P38" s="110">
        <f>P18/P$33</f>
        <v>6875</v>
      </c>
    </row>
    <row r="39" spans="1:18" ht="16" x14ac:dyDescent="0.2">
      <c r="A39" s="28" t="s">
        <v>143</v>
      </c>
      <c r="E39" s="110">
        <f t="shared" ref="E39:N39" si="5">E21/E$33</f>
        <v>-4753.396825396826</v>
      </c>
      <c r="F39" s="110">
        <f t="shared" si="5"/>
        <v>-5194.0069686411152</v>
      </c>
      <c r="G39" s="110">
        <f t="shared" si="5"/>
        <v>-5120.0405748098065</v>
      </c>
      <c r="H39" s="110">
        <f t="shared" si="5"/>
        <v>-5265.8278145695367</v>
      </c>
      <c r="I39" s="110">
        <f t="shared" si="5"/>
        <v>-5485.5020542317179</v>
      </c>
      <c r="J39" s="110">
        <f t="shared" si="5"/>
        <v>-5731.70826580227</v>
      </c>
      <c r="K39" s="110">
        <f t="shared" si="5"/>
        <v>-5875.3616680032083</v>
      </c>
      <c r="L39" s="110">
        <f t="shared" si="5"/>
        <v>-6104.993630573249</v>
      </c>
      <c r="M39" s="110">
        <f t="shared" si="5"/>
        <v>-6315.5870764381407</v>
      </c>
      <c r="N39" s="110">
        <f t="shared" si="5"/>
        <v>-6868.539534883721</v>
      </c>
      <c r="O39" s="110">
        <f>O21/O$33</f>
        <v>-7006.0318906605935</v>
      </c>
      <c r="P39" s="110">
        <f>P21/P$33</f>
        <v>-6814</v>
      </c>
    </row>
    <row r="40" spans="1:18" ht="16" x14ac:dyDescent="0.2">
      <c r="A40" s="28" t="s">
        <v>142</v>
      </c>
      <c r="E40" s="110">
        <f>(E19+E26)/E$33</f>
        <v>-86.659611992945329</v>
      </c>
      <c r="F40" s="110">
        <f t="shared" ref="F40:O40" si="6">(F19+F26)/F$33</f>
        <v>17.351916376306619</v>
      </c>
      <c r="G40" s="110">
        <f t="shared" si="6"/>
        <v>20.206255283178365</v>
      </c>
      <c r="H40" s="110">
        <f t="shared" si="6"/>
        <v>-29.682119205298019</v>
      </c>
      <c r="I40" s="110">
        <f t="shared" si="6"/>
        <v>-27.280197206244864</v>
      </c>
      <c r="J40" s="110">
        <f t="shared" si="6"/>
        <v>75.332252836304704</v>
      </c>
      <c r="K40" s="110">
        <f t="shared" si="6"/>
        <v>159.74338412189255</v>
      </c>
      <c r="L40" s="110">
        <f t="shared" si="6"/>
        <v>178.68789808917199</v>
      </c>
      <c r="M40" s="110">
        <f t="shared" si="6"/>
        <v>178.95035460992906</v>
      </c>
      <c r="N40" s="110">
        <f t="shared" si="6"/>
        <v>154.41860465116278</v>
      </c>
      <c r="O40" s="110">
        <f t="shared" si="6"/>
        <v>117.97722095671985</v>
      </c>
      <c r="P40" s="110">
        <f>(P19+P26)/P$33</f>
        <v>120</v>
      </c>
    </row>
    <row r="41" spans="1:18" ht="16" x14ac:dyDescent="0.2">
      <c r="A41" s="28" t="s">
        <v>229</v>
      </c>
      <c r="E41" s="110">
        <f>(E23+E24+E25)/E$33</f>
        <v>-53.869488536155202</v>
      </c>
      <c r="F41" s="110">
        <f t="shared" ref="F41:O41" si="7">(F23+F24+F25)/F$33</f>
        <v>3840.5574912891989</v>
      </c>
      <c r="G41" s="110">
        <f t="shared" si="7"/>
        <v>797.024513947591</v>
      </c>
      <c r="H41" s="110">
        <f t="shared" si="7"/>
        <v>255.04635761589407</v>
      </c>
      <c r="I41" s="110">
        <f t="shared" si="7"/>
        <v>3209.242399342646</v>
      </c>
      <c r="J41" s="110">
        <f t="shared" si="7"/>
        <v>1867.1636952998381</v>
      </c>
      <c r="K41" s="110">
        <f t="shared" si="7"/>
        <v>109.69045709703289</v>
      </c>
      <c r="L41" s="110">
        <f t="shared" si="7"/>
        <v>485.31210191082806</v>
      </c>
      <c r="M41" s="110">
        <f t="shared" si="7"/>
        <v>-573.47832939322302</v>
      </c>
      <c r="N41" s="110">
        <f t="shared" si="7"/>
        <v>-497.22790697674418</v>
      </c>
      <c r="O41" s="110">
        <f t="shared" si="7"/>
        <v>1510.5117691723617</v>
      </c>
      <c r="P41" s="110">
        <f>(P23+P24+P25)/P$33</f>
        <v>57</v>
      </c>
    </row>
    <row r="42" spans="1:18" ht="16" x14ac:dyDescent="0.2">
      <c r="A42" s="28" t="s">
        <v>227</v>
      </c>
      <c r="E42" s="110">
        <f t="shared" ref="E42" si="8">SUM(E36:E41)</f>
        <v>81371.033509700181</v>
      </c>
      <c r="F42" s="110">
        <f t="shared" ref="F42" si="9">SUM(F36:F41)</f>
        <v>89140.264808362379</v>
      </c>
      <c r="G42" s="110">
        <f t="shared" ref="G42" si="10">SUM(G36:G41)</f>
        <v>89862.830092983946</v>
      </c>
      <c r="H42" s="110">
        <f t="shared" ref="H42" si="11">SUM(H36:H41)</f>
        <v>90670.079470198674</v>
      </c>
      <c r="I42" s="110">
        <f t="shared" ref="I42" si="12">SUM(I36:I41)</f>
        <v>95621.456039441255</v>
      </c>
      <c r="J42" s="110">
        <f t="shared" ref="J42" si="13">SUM(J36:J41)</f>
        <v>98856.363047001621</v>
      </c>
      <c r="K42" s="110">
        <f t="shared" ref="K42" si="14">SUM(K36:K41)</f>
        <v>100807.65998396149</v>
      </c>
      <c r="L42" s="110">
        <f t="shared" ref="L42" si="15">SUM(L36:L41)</f>
        <v>103360.90445859873</v>
      </c>
      <c r="M42" s="110">
        <f t="shared" ref="M42" si="16">SUM(M36:M41)</f>
        <v>104299.8014184397</v>
      </c>
      <c r="N42" s="110">
        <f t="shared" ref="N42" si="17">SUM(N36:N41)</f>
        <v>104386.97674418606</v>
      </c>
      <c r="O42" s="110">
        <f t="shared" ref="O42" si="18">SUM(O36:O41)</f>
        <v>111760.72892938499</v>
      </c>
      <c r="P42" s="110">
        <f t="shared" ref="P42" si="19">SUM(P36:P41)</f>
        <v>113750</v>
      </c>
    </row>
    <row r="43" spans="1:18" ht="16" x14ac:dyDescent="0.2">
      <c r="A43" s="28" t="s">
        <v>144</v>
      </c>
      <c r="E43" s="110">
        <f t="shared" ref="E43:O43" si="20">E29/E$33</f>
        <v>0</v>
      </c>
      <c r="F43" s="110">
        <f t="shared" si="20"/>
        <v>-6422.5226480836236</v>
      </c>
      <c r="G43" s="110">
        <f t="shared" si="20"/>
        <v>-5594.8875739644982</v>
      </c>
      <c r="H43" s="110">
        <f t="shared" si="20"/>
        <v>-4990.9933774834444</v>
      </c>
      <c r="I43" s="110">
        <f t="shared" si="20"/>
        <v>-7461.6795398520953</v>
      </c>
      <c r="J43" s="110">
        <f t="shared" si="20"/>
        <v>-8342.5089141004864</v>
      </c>
      <c r="K43" s="110">
        <f t="shared" si="20"/>
        <v>-7393.9887730553337</v>
      </c>
      <c r="L43" s="110">
        <f t="shared" si="20"/>
        <v>-6882.1273885350329</v>
      </c>
      <c r="M43" s="110">
        <f t="shared" si="20"/>
        <v>-5550.6004728132384</v>
      </c>
      <c r="N43" s="110">
        <f t="shared" si="20"/>
        <v>-4363.8697674418609</v>
      </c>
      <c r="O43" s="110">
        <f t="shared" si="20"/>
        <v>-5222.2566438876247</v>
      </c>
      <c r="P43" s="110">
        <f>P29/P$33</f>
        <v>-4440</v>
      </c>
    </row>
    <row r="44" spans="1:18" ht="16" x14ac:dyDescent="0.2">
      <c r="A44" s="28" t="s">
        <v>147</v>
      </c>
      <c r="E44" s="110">
        <f t="shared" ref="E44:O44" si="21">-E7/E$33</f>
        <v>43158.828924162262</v>
      </c>
      <c r="F44" s="110">
        <f t="shared" si="21"/>
        <v>48100.668989547041</v>
      </c>
      <c r="G44" s="110">
        <f t="shared" si="21"/>
        <v>51657.291631445485</v>
      </c>
      <c r="H44" s="110">
        <f t="shared" si="21"/>
        <v>54098.410596026501</v>
      </c>
      <c r="I44" s="110">
        <f t="shared" si="21"/>
        <v>57214.211996713231</v>
      </c>
      <c r="J44" s="110">
        <f t="shared" si="21"/>
        <v>59803.047001620755</v>
      </c>
      <c r="K44" s="110">
        <f t="shared" si="21"/>
        <v>63551.242983159587</v>
      </c>
      <c r="L44" s="110">
        <f t="shared" si="21"/>
        <v>68250.318471337581</v>
      </c>
      <c r="M44" s="110">
        <f t="shared" si="21"/>
        <v>72924.885736800628</v>
      </c>
      <c r="N44" s="110">
        <f t="shared" si="21"/>
        <v>83111.181395348845</v>
      </c>
      <c r="O44" s="110">
        <f t="shared" si="21"/>
        <v>87802.277904328032</v>
      </c>
      <c r="P44" s="110">
        <f>-P7/P$33</f>
        <v>94346</v>
      </c>
    </row>
    <row r="45" spans="1:18" ht="16" x14ac:dyDescent="0.2">
      <c r="A45" s="28" t="s">
        <v>145</v>
      </c>
      <c r="E45" s="110">
        <f t="shared" ref="E45:O45" si="22">E11/E$33</f>
        <v>1304.57848324515</v>
      </c>
      <c r="F45" s="110">
        <f t="shared" si="22"/>
        <v>1432.1114982578397</v>
      </c>
      <c r="G45" s="110">
        <f t="shared" si="22"/>
        <v>1371.78021978022</v>
      </c>
      <c r="H45" s="110">
        <f t="shared" si="22"/>
        <v>1366.4768211920532</v>
      </c>
      <c r="I45" s="110">
        <f t="shared" si="22"/>
        <v>1377.1043549712408</v>
      </c>
      <c r="J45" s="110">
        <f t="shared" si="22"/>
        <v>1530.3209076175042</v>
      </c>
      <c r="K45" s="110">
        <f t="shared" si="22"/>
        <v>1584.6543704891742</v>
      </c>
      <c r="L45" s="110">
        <f t="shared" si="22"/>
        <v>1559.5541401273888</v>
      </c>
      <c r="M45" s="110">
        <f t="shared" si="22"/>
        <v>1547.7635933806146</v>
      </c>
      <c r="N45" s="110">
        <f t="shared" si="22"/>
        <v>1523.5968992248063</v>
      </c>
      <c r="O45" s="110">
        <f t="shared" si="22"/>
        <v>1483.286256643888</v>
      </c>
      <c r="P45" s="110">
        <f>P11/P$33</f>
        <v>1450</v>
      </c>
    </row>
    <row r="46" spans="1:18" ht="16" x14ac:dyDescent="0.2">
      <c r="A46" s="28" t="s">
        <v>228</v>
      </c>
      <c r="E46" s="110">
        <f t="shared" ref="E46:O46" si="23">-E12/E$33</f>
        <v>1235.4850088183423</v>
      </c>
      <c r="F46" s="110">
        <f t="shared" si="23"/>
        <v>1279.4146341463415</v>
      </c>
      <c r="G46" s="110">
        <f t="shared" si="23"/>
        <v>1287.5874894336434</v>
      </c>
      <c r="H46" s="110">
        <f t="shared" si="23"/>
        <v>1314.8079470198677</v>
      </c>
      <c r="I46" s="110">
        <f t="shared" si="23"/>
        <v>1356.3714050944948</v>
      </c>
      <c r="J46" s="110">
        <f t="shared" si="23"/>
        <v>1385.0372771474879</v>
      </c>
      <c r="K46" s="110">
        <f t="shared" si="23"/>
        <v>1445.1451483560547</v>
      </c>
      <c r="L46" s="110">
        <f t="shared" si="23"/>
        <v>1509.8598726114651</v>
      </c>
      <c r="M46" s="110">
        <f t="shared" si="23"/>
        <v>1579.1583924349882</v>
      </c>
      <c r="N46" s="110">
        <f t="shared" si="23"/>
        <v>1645.0728682170543</v>
      </c>
      <c r="O46" s="110">
        <f t="shared" si="23"/>
        <v>1704.1154138192867</v>
      </c>
      <c r="P46" s="110">
        <f>-P12/P$33</f>
        <v>1698</v>
      </c>
    </row>
    <row r="47" spans="1:18" ht="16" x14ac:dyDescent="0.2">
      <c r="A47" s="28" t="s">
        <v>146</v>
      </c>
      <c r="E47" s="81">
        <f t="shared" ref="E47:O47" si="24">E42+E43+E45-E46-E44</f>
        <v>38281.29805996472</v>
      </c>
      <c r="F47" s="81">
        <f t="shared" si="24"/>
        <v>34769.770034843219</v>
      </c>
      <c r="G47" s="81">
        <f t="shared" si="24"/>
        <v>32694.843617920538</v>
      </c>
      <c r="H47" s="81">
        <f t="shared" si="24"/>
        <v>31632.344370860912</v>
      </c>
      <c r="I47" s="81">
        <f t="shared" si="24"/>
        <v>30966.297452752668</v>
      </c>
      <c r="J47" s="81">
        <f t="shared" si="24"/>
        <v>30856.090761750384</v>
      </c>
      <c r="K47" s="81">
        <f t="shared" si="24"/>
        <v>30001.937449879704</v>
      </c>
      <c r="L47" s="81">
        <f t="shared" si="24"/>
        <v>28278.152866242046</v>
      </c>
      <c r="M47" s="81">
        <f t="shared" si="24"/>
        <v>25792.920409771468</v>
      </c>
      <c r="N47" s="81">
        <f t="shared" si="24"/>
        <v>16790.449612403099</v>
      </c>
      <c r="O47" s="81">
        <f t="shared" si="24"/>
        <v>18515.36522399394</v>
      </c>
      <c r="P47" s="81">
        <f>P42+P43+P45-P46-P44</f>
        <v>14716</v>
      </c>
    </row>
    <row r="48" spans="1:18" x14ac:dyDescent="0.2">
      <c r="A48" s="53"/>
      <c r="F48" s="54"/>
      <c r="G48" s="54"/>
      <c r="H48" s="54"/>
      <c r="I48" s="54"/>
      <c r="J48" s="54"/>
      <c r="K48" s="54"/>
      <c r="L48" s="54"/>
      <c r="M48" s="54"/>
      <c r="N48" s="54"/>
      <c r="O48" s="54"/>
      <c r="P48" s="54"/>
    </row>
    <row r="49" spans="1:26" x14ac:dyDescent="0.2">
      <c r="A49" s="53"/>
      <c r="F49" s="54"/>
      <c r="G49" s="54"/>
      <c r="H49" s="54"/>
      <c r="I49" s="54"/>
      <c r="J49" s="54"/>
      <c r="K49" s="54"/>
      <c r="L49" s="54"/>
      <c r="M49" s="54"/>
      <c r="N49" s="54"/>
      <c r="O49" s="54"/>
      <c r="P49" s="54"/>
    </row>
    <row r="50" spans="1:26" ht="16" thickBot="1" x14ac:dyDescent="0.25">
      <c r="A50" s="53"/>
      <c r="C50" s="54"/>
      <c r="D50" s="54"/>
      <c r="E50" s="54"/>
      <c r="F50" s="54"/>
      <c r="G50" s="54"/>
      <c r="H50" s="54"/>
      <c r="I50" s="54"/>
      <c r="J50" s="54"/>
      <c r="K50" s="54"/>
      <c r="L50" s="54"/>
      <c r="M50" s="54"/>
      <c r="N50" s="54"/>
      <c r="O50" s="54"/>
      <c r="P50" s="54"/>
    </row>
    <row r="51" spans="1:26" x14ac:dyDescent="0.2">
      <c r="A51" s="53"/>
      <c r="C51" s="54"/>
      <c r="D51" s="54"/>
      <c r="E51" s="54"/>
      <c r="F51" s="54"/>
      <c r="G51" s="54"/>
      <c r="H51" s="54"/>
      <c r="I51" s="54"/>
      <c r="J51" s="54"/>
      <c r="K51" s="54"/>
      <c r="L51" s="54"/>
      <c r="M51" s="54"/>
      <c r="N51" s="54"/>
      <c r="O51" s="54"/>
      <c r="P51" s="54"/>
      <c r="R51" s="112" t="s">
        <v>242</v>
      </c>
      <c r="S51" s="113" t="s">
        <v>140</v>
      </c>
      <c r="T51" s="114"/>
      <c r="X51" s="112" t="s">
        <v>242</v>
      </c>
      <c r="Y51" s="113" t="s">
        <v>143</v>
      </c>
      <c r="Z51" s="114"/>
    </row>
    <row r="52" spans="1:26" ht="16" thickBot="1" x14ac:dyDescent="0.25">
      <c r="A52" s="53"/>
      <c r="C52" s="54"/>
      <c r="D52" s="54"/>
      <c r="E52" s="54"/>
      <c r="F52" s="54"/>
      <c r="G52" s="54"/>
      <c r="H52" s="54"/>
      <c r="I52" s="54"/>
      <c r="J52" s="54"/>
      <c r="K52" s="54"/>
      <c r="L52" s="54"/>
      <c r="M52" s="54"/>
      <c r="N52" s="54"/>
      <c r="O52" s="54"/>
      <c r="P52" s="54"/>
      <c r="R52" s="115" cm="1">
        <f t="array" ref="R52:S56">LINEST(E37:P37,E1:P1,E37,TRUE)</f>
        <v>64.463449136231986</v>
      </c>
      <c r="S52" s="117">
        <v>-127541.28028424976</v>
      </c>
      <c r="T52" s="116"/>
      <c r="X52" s="115" cm="1">
        <f t="array" ref="X52:Y56">LINEST(E39:P39,E1:P1,E37,TRUE)</f>
        <v>-204.42404328635027</v>
      </c>
      <c r="Y52" s="117">
        <v>405934.31884168508</v>
      </c>
      <c r="Z52" s="116"/>
    </row>
    <row r="53" spans="1:26" x14ac:dyDescent="0.2">
      <c r="A53" s="53"/>
      <c r="C53" s="54"/>
      <c r="D53" s="54"/>
      <c r="E53" s="54"/>
      <c r="F53" s="54"/>
      <c r="G53" s="54"/>
      <c r="H53" s="54"/>
      <c r="I53" s="54"/>
      <c r="J53" s="54"/>
      <c r="K53" s="54"/>
      <c r="L53" s="54"/>
      <c r="M53" s="54"/>
      <c r="N53" s="54"/>
      <c r="O53" s="54"/>
      <c r="P53" s="54"/>
      <c r="R53" s="111">
        <v>6.6488372255422377</v>
      </c>
      <c r="S53" s="111">
        <v>13394.102256260341</v>
      </c>
      <c r="X53" s="111">
        <v>13.332063655563605</v>
      </c>
      <c r="Y53" s="111">
        <v>26857.481666657561</v>
      </c>
    </row>
    <row r="54" spans="1:26" x14ac:dyDescent="0.2">
      <c r="O54" s="54"/>
      <c r="P54" s="54"/>
      <c r="R54" s="111">
        <v>0.90384771921065854</v>
      </c>
      <c r="S54" s="111">
        <v>79.508529181472952</v>
      </c>
      <c r="X54" s="111">
        <v>0.95920181876036159</v>
      </c>
      <c r="Y54" s="111">
        <v>159.42829343685517</v>
      </c>
    </row>
    <row r="55" spans="1:26" x14ac:dyDescent="0.2">
      <c r="O55" s="54"/>
      <c r="P55" s="54"/>
      <c r="R55" s="111">
        <v>94.00169312581194</v>
      </c>
      <c r="S55" s="111">
        <v>10</v>
      </c>
      <c r="X55" s="111">
        <v>235.1089655507553</v>
      </c>
      <c r="Y55" s="111">
        <v>10</v>
      </c>
    </row>
    <row r="56" spans="1:26" x14ac:dyDescent="0.2">
      <c r="O56" s="54"/>
      <c r="P56" s="54"/>
      <c r="R56" s="111">
        <v>594241.68725915835</v>
      </c>
      <c r="S56" s="111">
        <v>63216.062126011362</v>
      </c>
      <c r="X56" s="111">
        <v>5975854.0947161624</v>
      </c>
      <c r="Y56" s="111">
        <v>254173.80748187995</v>
      </c>
    </row>
    <row r="57" spans="1:26" x14ac:dyDescent="0.2">
      <c r="O57" s="54"/>
      <c r="P57" s="54"/>
      <c r="S57" s="111"/>
    </row>
    <row r="58" spans="1:26" s="103" customFormat="1" x14ac:dyDescent="0.2">
      <c r="A58" s="103" t="s">
        <v>232</v>
      </c>
      <c r="B58" s="103" t="s">
        <v>233</v>
      </c>
    </row>
    <row r="59" spans="1:26" ht="16" thickBot="1" x14ac:dyDescent="0.25"/>
    <row r="60" spans="1:26" x14ac:dyDescent="0.2">
      <c r="B60" s="94" t="s">
        <v>234</v>
      </c>
      <c r="C60" s="95" t="s">
        <v>235</v>
      </c>
      <c r="D60" s="49">
        <v>2015</v>
      </c>
      <c r="E60" s="49">
        <v>2016</v>
      </c>
      <c r="F60" s="49">
        <v>2017</v>
      </c>
      <c r="G60" s="49">
        <v>2018</v>
      </c>
      <c r="H60" s="49">
        <v>2019</v>
      </c>
      <c r="I60" s="49">
        <v>2020</v>
      </c>
      <c r="J60" s="49">
        <f>I60+1</f>
        <v>2021</v>
      </c>
      <c r="K60" s="49">
        <f>J60+1</f>
        <v>2022</v>
      </c>
      <c r="L60" s="49">
        <f>K60+1</f>
        <v>2023</v>
      </c>
      <c r="M60" s="49">
        <f>L60+1</f>
        <v>2024</v>
      </c>
      <c r="N60" s="49">
        <f>M60+1</f>
        <v>2025</v>
      </c>
      <c r="O60" s="49">
        <v>2026</v>
      </c>
    </row>
    <row r="61" spans="1:26" ht="16" x14ac:dyDescent="0.2">
      <c r="A61" s="78" t="s">
        <v>139</v>
      </c>
      <c r="B61" s="96"/>
      <c r="C61" s="97"/>
      <c r="D61" s="65">
        <f>K36</f>
        <v>97825.783480352853</v>
      </c>
      <c r="E61" s="65">
        <f t="shared" ref="E61:I71" si="25">L36</f>
        <v>100085.31210191084</v>
      </c>
      <c r="F61" s="65">
        <f t="shared" si="25"/>
        <v>102302.04570527974</v>
      </c>
      <c r="G61" s="65">
        <f t="shared" si="25"/>
        <v>102601.89767441861</v>
      </c>
      <c r="H61" s="65">
        <f t="shared" si="25"/>
        <v>107886.63933181476</v>
      </c>
      <c r="I61" s="65">
        <f t="shared" ref="I61:I66" si="26">P36</f>
        <v>110835</v>
      </c>
      <c r="J61" s="109">
        <f>I67</f>
        <v>113750</v>
      </c>
      <c r="K61" s="109">
        <f>J67</f>
        <v>115411.66599079067</v>
      </c>
      <c r="L61" s="65">
        <f>K67</f>
        <v>117005.65385803062</v>
      </c>
      <c r="M61" s="65">
        <f>L67</f>
        <v>118529.01960334538</v>
      </c>
      <c r="N61" s="65">
        <f>M67</f>
        <v>119978.69116443122</v>
      </c>
      <c r="O61" s="65"/>
    </row>
    <row r="62" spans="1:26" ht="16" x14ac:dyDescent="0.2">
      <c r="A62" s="79" t="s">
        <v>140</v>
      </c>
      <c r="B62" s="118">
        <f>R52</f>
        <v>64.463449136231986</v>
      </c>
      <c r="C62" s="98" t="s">
        <v>251</v>
      </c>
      <c r="D62" s="65">
        <f t="shared" ref="D62:D71" si="27">K37</f>
        <v>2428.0994386527668</v>
      </c>
      <c r="E62" s="65">
        <f t="shared" si="25"/>
        <v>2428.6751592356691</v>
      </c>
      <c r="F62" s="65">
        <f t="shared" si="25"/>
        <v>2436.2364066193854</v>
      </c>
      <c r="G62" s="65">
        <f t="shared" si="25"/>
        <v>2448.049612403101</v>
      </c>
      <c r="H62" s="65">
        <f t="shared" si="25"/>
        <v>2600.5406226271834</v>
      </c>
      <c r="I62" s="65">
        <f t="shared" si="26"/>
        <v>2677</v>
      </c>
      <c r="J62" s="109">
        <f>I62+$B62</f>
        <v>2741.4634491362322</v>
      </c>
      <c r="K62" s="109">
        <f>J62+$B62</f>
        <v>2805.9268982724643</v>
      </c>
      <c r="L62" s="65">
        <f>K62+$B62</f>
        <v>2870.3903474086965</v>
      </c>
      <c r="M62" s="65">
        <f>L62+$B62</f>
        <v>2934.8537965449286</v>
      </c>
      <c r="N62" s="65">
        <f>M62+$B62</f>
        <v>2999.3172456811608</v>
      </c>
    </row>
    <row r="63" spans="1:26" ht="16" x14ac:dyDescent="0.2">
      <c r="A63" s="79" t="s">
        <v>141</v>
      </c>
      <c r="B63" s="121">
        <v>6.3500000000000001E-2</v>
      </c>
      <c r="C63" s="98" t="s">
        <v>138</v>
      </c>
      <c r="D63" s="65">
        <f t="shared" si="27"/>
        <v>6159.7048917401771</v>
      </c>
      <c r="E63" s="65">
        <f t="shared" si="25"/>
        <v>6287.9108280254786</v>
      </c>
      <c r="F63" s="65">
        <f t="shared" si="25"/>
        <v>6271.6343577620173</v>
      </c>
      <c r="G63" s="65">
        <f t="shared" si="25"/>
        <v>6548.3782945736439</v>
      </c>
      <c r="H63" s="65">
        <f t="shared" si="25"/>
        <v>6651.0918754745644</v>
      </c>
      <c r="I63" s="65">
        <f t="shared" si="26"/>
        <v>6875</v>
      </c>
      <c r="J63" s="109">
        <f>(0.0635-0.02)*J61</f>
        <v>4948.125</v>
      </c>
      <c r="K63" s="109">
        <f>(0.0635-0.02)*K61</f>
        <v>5020.4074705993935</v>
      </c>
      <c r="L63" s="65">
        <f t="shared" ref="L63:N63" si="28">(0.0635-0.02)*L61</f>
        <v>5089.7459428243319</v>
      </c>
      <c r="M63" s="65">
        <f t="shared" si="28"/>
        <v>5156.0123527455235</v>
      </c>
      <c r="N63" s="65">
        <f t="shared" si="28"/>
        <v>5219.0730656527576</v>
      </c>
    </row>
    <row r="64" spans="1:26" ht="16" x14ac:dyDescent="0.2">
      <c r="A64" s="79" t="s">
        <v>143</v>
      </c>
      <c r="B64" s="119">
        <f>X52</f>
        <v>-204.42404328635027</v>
      </c>
      <c r="C64" s="98" t="s">
        <v>148</v>
      </c>
      <c r="D64" s="65">
        <f t="shared" si="27"/>
        <v>-5875.3616680032083</v>
      </c>
      <c r="E64" s="65">
        <f t="shared" si="25"/>
        <v>-6104.993630573249</v>
      </c>
      <c r="F64" s="65">
        <f t="shared" si="25"/>
        <v>-6315.5870764381407</v>
      </c>
      <c r="G64" s="65">
        <f t="shared" si="25"/>
        <v>-6868.539534883721</v>
      </c>
      <c r="H64" s="65">
        <f t="shared" si="25"/>
        <v>-7006.0318906605935</v>
      </c>
      <c r="I64" s="65">
        <f t="shared" si="26"/>
        <v>-6814</v>
      </c>
      <c r="J64" s="109">
        <f>I64+$B64</f>
        <v>-7018.4240432863498</v>
      </c>
      <c r="K64" s="109">
        <f t="shared" ref="K64:N64" si="29">J64+$B64</f>
        <v>-7222.8480865726997</v>
      </c>
      <c r="L64" s="65">
        <f t="shared" si="29"/>
        <v>-7427.2721298590495</v>
      </c>
      <c r="M64" s="65">
        <f>L64+$B64</f>
        <v>-7631.6961731453994</v>
      </c>
      <c r="N64" s="65">
        <f t="shared" si="29"/>
        <v>-7836.1202164317492</v>
      </c>
      <c r="P64" s="49">
        <f>(0.0635)*J61/1.02</f>
        <v>7081.4950980392159</v>
      </c>
    </row>
    <row r="65" spans="1:16" ht="16" x14ac:dyDescent="0.2">
      <c r="A65" s="79" t="s">
        <v>142</v>
      </c>
      <c r="B65" s="120">
        <f>AVERAGE(E40:P40)</f>
        <v>73.253829876681479</v>
      </c>
      <c r="C65" s="97" t="s">
        <v>236</v>
      </c>
      <c r="D65" s="65">
        <f t="shared" si="27"/>
        <v>159.74338412189255</v>
      </c>
      <c r="E65" s="65">
        <f t="shared" si="25"/>
        <v>178.68789808917199</v>
      </c>
      <c r="F65" s="65">
        <f t="shared" si="25"/>
        <v>178.95035460992906</v>
      </c>
      <c r="G65" s="65">
        <f t="shared" si="25"/>
        <v>154.41860465116278</v>
      </c>
      <c r="H65" s="65">
        <f t="shared" si="25"/>
        <v>117.97722095671985</v>
      </c>
      <c r="I65" s="65">
        <f t="shared" si="26"/>
        <v>120</v>
      </c>
      <c r="J65" s="65">
        <f>$B65</f>
        <v>73.253829876681479</v>
      </c>
      <c r="K65" s="109">
        <f>$B65</f>
        <v>73.253829876681479</v>
      </c>
      <c r="L65" s="65">
        <f t="shared" ref="L65:N66" si="30">$B65</f>
        <v>73.253829876681479</v>
      </c>
      <c r="M65" s="65">
        <f t="shared" si="30"/>
        <v>73.253829876681479</v>
      </c>
      <c r="N65" s="65">
        <f t="shared" si="30"/>
        <v>73.253829876681479</v>
      </c>
      <c r="P65" s="49">
        <f>P64/J61*1.02</f>
        <v>6.3500000000000001E-2</v>
      </c>
    </row>
    <row r="66" spans="1:16" ht="16" x14ac:dyDescent="0.2">
      <c r="A66" s="80" t="s">
        <v>229</v>
      </c>
      <c r="B66" s="120">
        <f>AVERAGE(E41:P41)</f>
        <v>917.24775506410549</v>
      </c>
      <c r="C66" s="97" t="s">
        <v>237</v>
      </c>
      <c r="D66" s="65">
        <f>K41</f>
        <v>109.69045709703289</v>
      </c>
      <c r="E66" s="65">
        <f t="shared" si="25"/>
        <v>485.31210191082806</v>
      </c>
      <c r="F66" s="65">
        <f t="shared" si="25"/>
        <v>-573.47832939322302</v>
      </c>
      <c r="G66" s="65">
        <f t="shared" si="25"/>
        <v>-497.22790697674418</v>
      </c>
      <c r="H66" s="65">
        <f>O41</f>
        <v>1510.5117691723617</v>
      </c>
      <c r="I66" s="65">
        <f t="shared" si="26"/>
        <v>57</v>
      </c>
      <c r="J66" s="65">
        <f>$B66</f>
        <v>917.24775506410549</v>
      </c>
      <c r="K66" s="65">
        <f t="shared" ref="K66" si="31">$B66</f>
        <v>917.24775506410549</v>
      </c>
      <c r="L66" s="65">
        <f t="shared" si="30"/>
        <v>917.24775506410549</v>
      </c>
      <c r="M66" s="65">
        <f t="shared" si="30"/>
        <v>917.24775506410549</v>
      </c>
      <c r="N66" s="65">
        <f t="shared" si="30"/>
        <v>917.24775506410549</v>
      </c>
    </row>
    <row r="67" spans="1:16" ht="16" x14ac:dyDescent="0.2">
      <c r="A67" s="78" t="s">
        <v>227</v>
      </c>
      <c r="B67" s="118"/>
      <c r="C67" s="97"/>
      <c r="D67" s="65">
        <f t="shared" si="27"/>
        <v>100807.65998396149</v>
      </c>
      <c r="E67" s="65">
        <f t="shared" si="25"/>
        <v>103360.90445859873</v>
      </c>
      <c r="F67" s="65">
        <f t="shared" si="25"/>
        <v>104299.8014184397</v>
      </c>
      <c r="G67" s="65">
        <f t="shared" si="25"/>
        <v>104386.97674418606</v>
      </c>
      <c r="H67" s="65">
        <f t="shared" si="25"/>
        <v>111760.72892938499</v>
      </c>
      <c r="I67" s="65">
        <f t="shared" si="25"/>
        <v>113750</v>
      </c>
      <c r="J67" s="65">
        <f>J61+SUM(J62:J66)</f>
        <v>115411.66599079067</v>
      </c>
      <c r="K67" s="109">
        <f>K61+SUM(K62:K66)</f>
        <v>117005.65385803062</v>
      </c>
      <c r="L67" s="65">
        <f t="shared" ref="L67:N67" si="32">L61+SUM(L62:L66)</f>
        <v>118529.01960334538</v>
      </c>
      <c r="M67" s="65">
        <f t="shared" si="32"/>
        <v>119978.69116443122</v>
      </c>
      <c r="N67" s="65">
        <f t="shared" si="32"/>
        <v>121351.46284427418</v>
      </c>
    </row>
    <row r="68" spans="1:16" ht="16" x14ac:dyDescent="0.2">
      <c r="A68" s="79" t="s">
        <v>144</v>
      </c>
      <c r="B68" s="120">
        <f>I68</f>
        <v>-4440</v>
      </c>
      <c r="C68" s="97" t="s">
        <v>248</v>
      </c>
      <c r="D68" s="65">
        <f t="shared" si="27"/>
        <v>-7393.9887730553337</v>
      </c>
      <c r="E68" s="65">
        <f t="shared" si="25"/>
        <v>-6882.1273885350329</v>
      </c>
      <c r="F68" s="65">
        <f t="shared" si="25"/>
        <v>-5550.6004728132384</v>
      </c>
      <c r="G68" s="65">
        <f t="shared" si="25"/>
        <v>-4363.8697674418609</v>
      </c>
      <c r="H68" s="65">
        <f t="shared" si="25"/>
        <v>-5222.2566438876247</v>
      </c>
      <c r="I68" s="65">
        <f>P43</f>
        <v>-4440</v>
      </c>
      <c r="J68" s="65">
        <f>$I68</f>
        <v>-4440</v>
      </c>
      <c r="K68" s="109">
        <f>$I68</f>
        <v>-4440</v>
      </c>
      <c r="L68" s="65">
        <f>$I68</f>
        <v>-4440</v>
      </c>
      <c r="M68" s="65">
        <f>$I68</f>
        <v>-4440</v>
      </c>
      <c r="N68" s="65">
        <f>$I68</f>
        <v>-4440</v>
      </c>
    </row>
    <row r="69" spans="1:16" ht="16" x14ac:dyDescent="0.2">
      <c r="A69" s="79" t="s">
        <v>147</v>
      </c>
      <c r="B69" s="121">
        <v>6.3500000000000001E-2</v>
      </c>
      <c r="C69" s="98" t="s">
        <v>138</v>
      </c>
      <c r="D69" s="65">
        <f t="shared" si="27"/>
        <v>63551.242983159587</v>
      </c>
      <c r="E69" s="65">
        <f t="shared" si="25"/>
        <v>68250.318471337581</v>
      </c>
      <c r="F69" s="65">
        <f t="shared" si="25"/>
        <v>72924.885736800628</v>
      </c>
      <c r="G69" s="65">
        <f t="shared" si="25"/>
        <v>83111.181395348845</v>
      </c>
      <c r="H69" s="65">
        <f t="shared" si="25"/>
        <v>87802.277904328032</v>
      </c>
      <c r="I69" s="65">
        <f t="shared" si="25"/>
        <v>94346</v>
      </c>
      <c r="J69" s="65">
        <f>I69*(1.0635-0.02)</f>
        <v>98450.050999999992</v>
      </c>
      <c r="K69" s="109">
        <f>J69*(1.0635-0.02)</f>
        <v>102732.62821849997</v>
      </c>
      <c r="L69" s="65">
        <f t="shared" ref="L69:N69" si="33">K69*(1.0635-0.02)</f>
        <v>107201.49754600471</v>
      </c>
      <c r="M69" s="65">
        <f t="shared" si="33"/>
        <v>111864.76268925591</v>
      </c>
      <c r="N69" s="65">
        <f t="shared" si="33"/>
        <v>116730.87986623852</v>
      </c>
    </row>
    <row r="70" spans="1:16" ht="16" x14ac:dyDescent="0.2">
      <c r="A70" s="79" t="s">
        <v>145</v>
      </c>
      <c r="B70" s="121">
        <v>6.3500000000000001E-2</v>
      </c>
      <c r="C70" s="98" t="s">
        <v>138</v>
      </c>
      <c r="D70" s="65">
        <f t="shared" si="27"/>
        <v>1584.6543704891742</v>
      </c>
      <c r="E70" s="65">
        <f t="shared" si="25"/>
        <v>1559.5541401273888</v>
      </c>
      <c r="F70" s="65">
        <f t="shared" si="25"/>
        <v>1547.7635933806146</v>
      </c>
      <c r="G70" s="65">
        <f t="shared" si="25"/>
        <v>1523.5968992248063</v>
      </c>
      <c r="H70" s="65">
        <f t="shared" si="25"/>
        <v>1483.286256643888</v>
      </c>
      <c r="I70" s="65">
        <f t="shared" si="25"/>
        <v>1450</v>
      </c>
      <c r="J70" s="65">
        <f>I70*(1.0635-0.02)</f>
        <v>1513.0749999999998</v>
      </c>
      <c r="K70" s="65">
        <f t="shared" ref="K70:N70" si="34">J70*(1.0635-0.02)</f>
        <v>1578.8937624999996</v>
      </c>
      <c r="L70" s="65">
        <f t="shared" si="34"/>
        <v>1647.5756411687494</v>
      </c>
      <c r="M70" s="65">
        <f t="shared" si="34"/>
        <v>1719.2451815595898</v>
      </c>
      <c r="N70" s="65">
        <f t="shared" si="34"/>
        <v>1794.0323469574319</v>
      </c>
    </row>
    <row r="71" spans="1:16" ht="16" x14ac:dyDescent="0.2">
      <c r="A71" s="79" t="s">
        <v>228</v>
      </c>
      <c r="B71" s="121">
        <v>6.3500000000000001E-2</v>
      </c>
      <c r="C71" s="98" t="s">
        <v>138</v>
      </c>
      <c r="D71" s="65">
        <f t="shared" si="27"/>
        <v>1445.1451483560547</v>
      </c>
      <c r="E71" s="65">
        <f t="shared" si="25"/>
        <v>1509.8598726114651</v>
      </c>
      <c r="F71" s="65">
        <f t="shared" si="25"/>
        <v>1579.1583924349882</v>
      </c>
      <c r="G71" s="65">
        <f t="shared" si="25"/>
        <v>1645.0728682170543</v>
      </c>
      <c r="H71" s="65">
        <f t="shared" si="25"/>
        <v>1704.1154138192867</v>
      </c>
      <c r="I71" s="65">
        <f>P46</f>
        <v>1698</v>
      </c>
      <c r="J71" s="65">
        <f>I71*(1.0635-0.02)</f>
        <v>1771.8629999999998</v>
      </c>
      <c r="K71" s="65">
        <f>J71*(1.0635-0.02)</f>
        <v>1848.9390404999997</v>
      </c>
      <c r="L71" s="65">
        <f t="shared" ref="L71:N71" si="35">K71*(1.0635-0.02)</f>
        <v>1929.3678887617496</v>
      </c>
      <c r="M71" s="65">
        <f t="shared" si="35"/>
        <v>2013.2953919228853</v>
      </c>
      <c r="N71" s="65">
        <f t="shared" si="35"/>
        <v>2100.8737414715306</v>
      </c>
    </row>
    <row r="72" spans="1:16" ht="17" thickBot="1" x14ac:dyDescent="0.25">
      <c r="A72" s="78" t="s">
        <v>146</v>
      </c>
      <c r="B72" s="99"/>
      <c r="C72" s="100"/>
      <c r="D72" s="81">
        <f t="shared" ref="D72:N72" si="36">D67+D68+D70-D71-D69</f>
        <v>30001.937449879704</v>
      </c>
      <c r="E72" s="81">
        <f t="shared" si="36"/>
        <v>28278.152866242046</v>
      </c>
      <c r="F72" s="81">
        <f t="shared" si="36"/>
        <v>25792.920409771468</v>
      </c>
      <c r="G72" s="81">
        <f t="shared" si="36"/>
        <v>16790.449612403099</v>
      </c>
      <c r="H72" s="81">
        <f t="shared" si="36"/>
        <v>18515.36522399394</v>
      </c>
      <c r="I72" s="81">
        <f t="shared" si="36"/>
        <v>14716</v>
      </c>
      <c r="J72" s="81">
        <f t="shared" si="36"/>
        <v>12262.82699079068</v>
      </c>
      <c r="K72" s="81">
        <f t="shared" si="36"/>
        <v>9562.9803615306446</v>
      </c>
      <c r="L72" s="81">
        <f t="shared" si="36"/>
        <v>6605.7298097476742</v>
      </c>
      <c r="M72" s="81">
        <f t="shared" si="36"/>
        <v>3379.8782648120105</v>
      </c>
      <c r="N72" s="81">
        <f t="shared" si="36"/>
        <v>-126.25841647843481</v>
      </c>
    </row>
    <row r="73" spans="1:16" ht="16" x14ac:dyDescent="0.2">
      <c r="A73" s="78"/>
      <c r="B73" s="78"/>
      <c r="C73" s="78"/>
      <c r="N73" s="101"/>
    </row>
    <row r="74" spans="1:16" ht="16" x14ac:dyDescent="0.2">
      <c r="A74" s="122" t="s">
        <v>243</v>
      </c>
      <c r="B74" s="78"/>
      <c r="C74" s="78"/>
    </row>
    <row r="75" spans="1:16" ht="16" x14ac:dyDescent="0.2">
      <c r="A75" s="78"/>
      <c r="B75" s="78"/>
      <c r="C75" s="78"/>
    </row>
    <row r="76" spans="1:16" ht="16" x14ac:dyDescent="0.2">
      <c r="A76" s="78" t="s">
        <v>238</v>
      </c>
      <c r="B76" s="78"/>
      <c r="C76" s="78"/>
      <c r="D76" s="65">
        <f>D67-D69+D68</f>
        <v>29862.428227746572</v>
      </c>
      <c r="E76" s="65">
        <f t="shared" ref="E76:H76" si="37">E67-E69+E68</f>
        <v>28228.458598726116</v>
      </c>
      <c r="F76" s="65">
        <f t="shared" si="37"/>
        <v>25824.315208825836</v>
      </c>
      <c r="G76" s="65">
        <f t="shared" si="37"/>
        <v>16911.925581395353</v>
      </c>
      <c r="H76" s="65">
        <f t="shared" si="37"/>
        <v>18736.194381169335</v>
      </c>
      <c r="I76" s="65">
        <f>I67-I69+I68</f>
        <v>14964</v>
      </c>
      <c r="J76" s="65">
        <f>(J67-J69+J68)*J33</f>
        <v>11635.2958574064</v>
      </c>
      <c r="K76" s="65">
        <f>(K67-K69+K68)*K33</f>
        <v>9233.2703106134923</v>
      </c>
      <c r="L76" s="65">
        <f>(L67-L69+L68)*L33</f>
        <v>6514.1021867619575</v>
      </c>
      <c r="M76" s="65">
        <f>(M67-M69+M68)*M33</f>
        <v>3510.7042432209901</v>
      </c>
      <c r="N76" s="65">
        <f>(N67-N69+N68)*N33</f>
        <v>175.41569402560154</v>
      </c>
    </row>
    <row r="77" spans="1:16" ht="16" x14ac:dyDescent="0.2">
      <c r="A77" s="78" t="s">
        <v>239</v>
      </c>
      <c r="D77" s="134">
        <f>D76</f>
        <v>29862.428227746572</v>
      </c>
      <c r="E77" s="134">
        <f>E76</f>
        <v>28228.458598726116</v>
      </c>
      <c r="F77" s="134">
        <f>F76</f>
        <v>25824.315208825836</v>
      </c>
      <c r="G77" s="134">
        <f>G76</f>
        <v>16911.925581395353</v>
      </c>
      <c r="H77" s="134">
        <f>H76</f>
        <v>18736.194381169335</v>
      </c>
      <c r="I77" s="135">
        <v>14586</v>
      </c>
      <c r="J77" s="134">
        <v>11867</v>
      </c>
      <c r="K77" s="134">
        <v>8694</v>
      </c>
      <c r="L77" s="134">
        <v>5268</v>
      </c>
      <c r="M77" s="134">
        <v>1094</v>
      </c>
      <c r="N77" s="134">
        <v>-3487</v>
      </c>
    </row>
    <row r="78" spans="1:16" ht="16" x14ac:dyDescent="0.2">
      <c r="A78" s="78" t="s">
        <v>246</v>
      </c>
      <c r="I78" s="54">
        <v>14716</v>
      </c>
      <c r="J78" s="54">
        <v>12287</v>
      </c>
      <c r="K78" s="54">
        <v>9486</v>
      </c>
      <c r="L78" s="54">
        <v>6482</v>
      </c>
      <c r="M78" s="54">
        <v>2873</v>
      </c>
      <c r="N78" s="49">
        <v>441</v>
      </c>
      <c r="O78" s="49">
        <v>-2638</v>
      </c>
    </row>
  </sheetData>
  <hyperlinks>
    <hyperlink ref="A34" r:id="rId1" xr:uid="{B454A44E-7C8E-2647-A597-978F023F2C8B}"/>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4E52-D52C-A54A-B404-7BB6E2504452}">
  <sheetPr codeName="Feuil15">
    <tabColor rgb="FFFFFF00"/>
  </sheetPr>
  <dimension ref="A1:Z78"/>
  <sheetViews>
    <sheetView topLeftCell="A7" workbookViewId="0">
      <selection activeCell="R26" sqref="R26"/>
    </sheetView>
  </sheetViews>
  <sheetFormatPr baseColWidth="10" defaultColWidth="10.83203125" defaultRowHeight="15" x14ac:dyDescent="0.2"/>
  <cols>
    <col min="1" max="1" width="66.33203125" style="49" customWidth="1"/>
    <col min="2" max="15" width="11" style="49" customWidth="1"/>
    <col min="16" max="16384" width="10.83203125" style="49"/>
  </cols>
  <sheetData>
    <row r="1" spans="1:16" x14ac:dyDescent="0.2">
      <c r="B1" s="49">
        <v>2006</v>
      </c>
      <c r="C1" s="49">
        <v>2007</v>
      </c>
      <c r="D1" s="49">
        <v>2008</v>
      </c>
      <c r="E1" s="49">
        <v>2009</v>
      </c>
      <c r="F1" s="49">
        <v>2010</v>
      </c>
      <c r="G1" s="49">
        <v>2011</v>
      </c>
      <c r="H1" s="49">
        <v>2012</v>
      </c>
      <c r="I1" s="49">
        <v>2013</v>
      </c>
      <c r="J1" s="49">
        <v>2014</v>
      </c>
      <c r="K1" s="49">
        <v>2015</v>
      </c>
      <c r="L1" s="49">
        <v>2016</v>
      </c>
      <c r="M1" s="49">
        <v>2017</v>
      </c>
      <c r="N1" s="49">
        <v>2018</v>
      </c>
      <c r="O1" s="49">
        <v>2019</v>
      </c>
      <c r="P1" s="49">
        <v>2020</v>
      </c>
    </row>
    <row r="2" spans="1:16" s="103" customFormat="1" x14ac:dyDescent="0.2">
      <c r="A2" s="103" t="s">
        <v>230</v>
      </c>
    </row>
    <row r="4" spans="1:16" x14ac:dyDescent="0.2">
      <c r="A4" s="50" t="s">
        <v>106</v>
      </c>
      <c r="B4" s="51">
        <v>35422</v>
      </c>
      <c r="C4" s="50">
        <v>33596</v>
      </c>
      <c r="D4" s="50">
        <v>31159</v>
      </c>
      <c r="E4" s="50">
        <v>28708</v>
      </c>
      <c r="F4" s="50">
        <v>29921</v>
      </c>
      <c r="G4" s="50">
        <v>29125</v>
      </c>
      <c r="H4" s="50">
        <v>28774</v>
      </c>
      <c r="I4" s="50">
        <v>28378</v>
      </c>
      <c r="J4" s="50">
        <v>28672</v>
      </c>
      <c r="K4" s="50">
        <v>28172</v>
      </c>
      <c r="L4" s="50">
        <v>26745</v>
      </c>
      <c r="M4" s="50">
        <v>24647</v>
      </c>
      <c r="N4" s="50">
        <v>21903</v>
      </c>
      <c r="O4" s="51">
        <v>18362</v>
      </c>
      <c r="P4" s="51">
        <v>14716</v>
      </c>
    </row>
    <row r="5" spans="1:16" x14ac:dyDescent="0.2">
      <c r="A5" s="53" t="s">
        <v>107</v>
      </c>
      <c r="B5" s="49">
        <v>35422</v>
      </c>
      <c r="C5" s="49">
        <v>32844</v>
      </c>
      <c r="D5" s="49">
        <v>30426</v>
      </c>
      <c r="E5" s="49">
        <v>28649</v>
      </c>
      <c r="F5" s="49">
        <v>29789</v>
      </c>
      <c r="G5" s="49">
        <v>29050</v>
      </c>
      <c r="H5" s="49">
        <v>28727</v>
      </c>
      <c r="I5" s="49">
        <v>28359</v>
      </c>
      <c r="J5" s="49">
        <v>28537</v>
      </c>
      <c r="K5" s="49">
        <v>28041</v>
      </c>
      <c r="L5" s="49">
        <v>26698</v>
      </c>
      <c r="M5" s="49">
        <v>24677</v>
      </c>
      <c r="N5" s="49">
        <v>22021</v>
      </c>
      <c r="O5" s="82">
        <v>18581</v>
      </c>
      <c r="P5" s="82">
        <v>14964</v>
      </c>
    </row>
    <row r="6" spans="1:16" x14ac:dyDescent="0.2">
      <c r="A6" s="83" t="s">
        <v>108</v>
      </c>
      <c r="B6" s="60">
        <v>57193</v>
      </c>
      <c r="C6" s="60">
        <v>59721</v>
      </c>
      <c r="D6" s="60">
        <v>62606</v>
      </c>
      <c r="E6" s="60">
        <v>65503</v>
      </c>
      <c r="F6" s="60">
        <v>71370</v>
      </c>
      <c r="G6" s="60">
        <v>75067</v>
      </c>
      <c r="H6" s="60">
        <v>77937</v>
      </c>
      <c r="I6" s="60">
        <v>80791</v>
      </c>
      <c r="J6" s="60">
        <v>84107</v>
      </c>
      <c r="K6" s="60">
        <v>87716</v>
      </c>
      <c r="L6" s="60">
        <v>91248</v>
      </c>
      <c r="M6" s="60">
        <v>94362</v>
      </c>
      <c r="N6" s="60">
        <v>102754</v>
      </c>
      <c r="O6" s="84">
        <v>105656</v>
      </c>
      <c r="P6" s="84">
        <v>109310</v>
      </c>
    </row>
    <row r="7" spans="1:16" x14ac:dyDescent="0.2">
      <c r="A7" s="83" t="s">
        <v>109</v>
      </c>
      <c r="B7" s="60">
        <v>-22563</v>
      </c>
      <c r="C7" s="60">
        <v>-26877</v>
      </c>
      <c r="D7" s="60">
        <f>D8+D9</f>
        <v>-32180</v>
      </c>
      <c r="E7" s="60">
        <f>E8+E9</f>
        <v>-36854</v>
      </c>
      <c r="F7" s="60">
        <v>-41581</v>
      </c>
      <c r="G7" s="60">
        <v>-46017</v>
      </c>
      <c r="H7" s="60">
        <f>H8+H9</f>
        <v>-49210</v>
      </c>
      <c r="I7" s="60">
        <f>I8+I9</f>
        <v>-52432</v>
      </c>
      <c r="J7" s="60">
        <f t="shared" ref="J7:N7" si="0">J8+J9</f>
        <v>-55570</v>
      </c>
      <c r="K7" s="60">
        <f t="shared" si="0"/>
        <v>-59675</v>
      </c>
      <c r="L7" s="60">
        <f t="shared" si="0"/>
        <v>-64550</v>
      </c>
      <c r="M7" s="60">
        <f t="shared" si="0"/>
        <v>-69685</v>
      </c>
      <c r="N7" s="60">
        <f t="shared" si="0"/>
        <v>-80733</v>
      </c>
      <c r="O7" s="84">
        <f>O8+O9</f>
        <v>-87075</v>
      </c>
      <c r="P7" s="84">
        <f>P8+P9</f>
        <v>-94346</v>
      </c>
    </row>
    <row r="8" spans="1:16" x14ac:dyDescent="0.2">
      <c r="A8" s="85" t="s">
        <v>110</v>
      </c>
      <c r="B8" s="60">
        <v>-22563</v>
      </c>
      <c r="C8" s="60">
        <v>-26877</v>
      </c>
      <c r="D8" s="60">
        <v>-31764</v>
      </c>
      <c r="E8" s="60">
        <v>-36025</v>
      </c>
      <c r="F8" s="86">
        <v>-38200</v>
      </c>
      <c r="G8" s="86">
        <v>-42265</v>
      </c>
      <c r="H8" s="87">
        <v>-45352</v>
      </c>
      <c r="I8" s="87">
        <v>-48344</v>
      </c>
      <c r="J8" s="87">
        <v>-51333</v>
      </c>
      <c r="K8" s="87">
        <v>-55263</v>
      </c>
      <c r="L8" s="87">
        <v>-59738</v>
      </c>
      <c r="M8" s="87">
        <v>-64598</v>
      </c>
      <c r="N8" s="87">
        <v>-75417</v>
      </c>
      <c r="O8" s="88">
        <v>-81344</v>
      </c>
      <c r="P8" s="88">
        <v>-88404</v>
      </c>
    </row>
    <row r="9" spans="1:16" x14ac:dyDescent="0.2">
      <c r="A9" s="85" t="s">
        <v>111</v>
      </c>
      <c r="B9" s="87"/>
      <c r="C9" s="87"/>
      <c r="D9" s="87">
        <v>-416</v>
      </c>
      <c r="E9" s="87">
        <v>-829</v>
      </c>
      <c r="F9" s="86">
        <f>F7-F8</f>
        <v>-3381</v>
      </c>
      <c r="G9" s="86">
        <f>G7-G8</f>
        <v>-3752</v>
      </c>
      <c r="H9" s="87">
        <v>-3858</v>
      </c>
      <c r="I9" s="87">
        <v>-4088</v>
      </c>
      <c r="J9" s="87">
        <v>-4237</v>
      </c>
      <c r="K9" s="87">
        <v>-4412</v>
      </c>
      <c r="L9" s="87">
        <v>-4812</v>
      </c>
      <c r="M9" s="87">
        <v>-5087</v>
      </c>
      <c r="N9" s="87">
        <v>-5316</v>
      </c>
      <c r="O9" s="88">
        <v>-5731</v>
      </c>
      <c r="P9" s="88">
        <v>-5942</v>
      </c>
    </row>
    <row r="10" spans="1:16" x14ac:dyDescent="0.2">
      <c r="A10" s="89" t="s">
        <v>112</v>
      </c>
      <c r="B10" s="60">
        <v>792</v>
      </c>
      <c r="C10" s="60">
        <v>752</v>
      </c>
      <c r="D10" s="60">
        <v>733</v>
      </c>
      <c r="E10" s="60">
        <v>59</v>
      </c>
      <c r="F10" s="60">
        <v>132</v>
      </c>
      <c r="G10" s="60">
        <v>75</v>
      </c>
      <c r="H10" s="60">
        <v>47</v>
      </c>
      <c r="I10" s="60">
        <v>19</v>
      </c>
      <c r="J10" s="60">
        <v>135</v>
      </c>
      <c r="K10" s="60">
        <v>131</v>
      </c>
      <c r="L10" s="60">
        <v>47</v>
      </c>
      <c r="M10" s="60">
        <v>-30</v>
      </c>
      <c r="N10" s="60">
        <v>-118</v>
      </c>
      <c r="O10" s="84">
        <v>-219</v>
      </c>
      <c r="P10" s="84">
        <v>-248</v>
      </c>
    </row>
    <row r="11" spans="1:16" x14ac:dyDescent="0.2">
      <c r="A11" s="90" t="s">
        <v>108</v>
      </c>
      <c r="B11" s="87">
        <v>1149</v>
      </c>
      <c r="C11" s="87">
        <v>1176</v>
      </c>
      <c r="D11" s="87">
        <v>1166</v>
      </c>
      <c r="E11" s="87">
        <v>1114</v>
      </c>
      <c r="F11" s="87">
        <v>1238</v>
      </c>
      <c r="G11" s="87">
        <v>1222</v>
      </c>
      <c r="H11" s="87">
        <v>1243</v>
      </c>
      <c r="I11" s="87">
        <v>1262</v>
      </c>
      <c r="J11" s="87">
        <v>1422</v>
      </c>
      <c r="K11" s="87">
        <v>1488</v>
      </c>
      <c r="L11" s="87">
        <v>1475</v>
      </c>
      <c r="M11" s="87">
        <v>1479</v>
      </c>
      <c r="N11" s="87">
        <v>1480</v>
      </c>
      <c r="O11" s="88">
        <v>1471</v>
      </c>
      <c r="P11" s="88">
        <v>1450</v>
      </c>
    </row>
    <row r="12" spans="1:16" x14ac:dyDescent="0.2">
      <c r="A12" s="90" t="s">
        <v>113</v>
      </c>
      <c r="B12" s="87">
        <v>357</v>
      </c>
      <c r="C12" s="87">
        <v>-424</v>
      </c>
      <c r="D12" s="87">
        <v>-433</v>
      </c>
      <c r="E12" s="87">
        <v>-1055</v>
      </c>
      <c r="F12" s="87">
        <v>-1106</v>
      </c>
      <c r="G12" s="87">
        <v>-1147</v>
      </c>
      <c r="H12" s="87">
        <v>-1196</v>
      </c>
      <c r="I12" s="87">
        <v>-1243</v>
      </c>
      <c r="J12" s="87">
        <v>-1287</v>
      </c>
      <c r="K12" s="87">
        <v>-1357</v>
      </c>
      <c r="L12" s="87">
        <v>-1428</v>
      </c>
      <c r="M12" s="87">
        <v>-1509</v>
      </c>
      <c r="N12" s="87">
        <v>-1598</v>
      </c>
      <c r="O12" s="88">
        <v>-1690</v>
      </c>
      <c r="P12" s="88">
        <v>-1698</v>
      </c>
    </row>
    <row r="14" spans="1:16" x14ac:dyDescent="0.2">
      <c r="A14" s="50" t="s">
        <v>231</v>
      </c>
      <c r="B14" s="50"/>
      <c r="C14" s="50"/>
      <c r="D14" s="50"/>
      <c r="E14" s="50"/>
      <c r="F14" s="50"/>
      <c r="G14" s="50"/>
      <c r="H14" s="50"/>
      <c r="I14" s="50"/>
      <c r="J14" s="50"/>
      <c r="K14" s="50"/>
      <c r="L14" s="50"/>
      <c r="M14" s="50"/>
      <c r="N14" s="50"/>
      <c r="O14" s="91"/>
      <c r="P14" s="129"/>
    </row>
    <row r="16" spans="1:16" x14ac:dyDescent="0.2">
      <c r="A16" s="53" t="s">
        <v>124</v>
      </c>
      <c r="E16" s="49">
        <v>67815</v>
      </c>
      <c r="F16" s="49">
        <v>71693</v>
      </c>
      <c r="G16" s="49">
        <v>77058</v>
      </c>
      <c r="H16" s="49">
        <v>80051</v>
      </c>
      <c r="I16" s="49">
        <v>82477</v>
      </c>
      <c r="J16" s="49">
        <v>87629</v>
      </c>
      <c r="K16" s="49">
        <v>91859</v>
      </c>
      <c r="L16" s="49">
        <v>94659</v>
      </c>
      <c r="M16" s="49">
        <v>97757</v>
      </c>
      <c r="N16" s="49">
        <v>99666</v>
      </c>
      <c r="O16" s="49">
        <f>106993</f>
        <v>106993</v>
      </c>
      <c r="P16" s="49">
        <v>110835</v>
      </c>
    </row>
    <row r="17" spans="1:21" x14ac:dyDescent="0.2">
      <c r="A17" s="92" t="s">
        <v>125</v>
      </c>
      <c r="E17" s="49">
        <v>1536</v>
      </c>
      <c r="F17" s="49">
        <v>1806</v>
      </c>
      <c r="G17" s="49">
        <v>1898</v>
      </c>
      <c r="H17" s="49">
        <v>1966</v>
      </c>
      <c r="I17" s="49">
        <v>2058</v>
      </c>
      <c r="J17" s="49">
        <v>2230</v>
      </c>
      <c r="K17" s="49">
        <v>2280</v>
      </c>
      <c r="L17" s="49">
        <v>2297</v>
      </c>
      <c r="M17" s="49">
        <v>2328</v>
      </c>
      <c r="N17" s="49">
        <v>2378</v>
      </c>
      <c r="O17" s="49">
        <v>2579</v>
      </c>
      <c r="P17" s="49">
        <v>2677</v>
      </c>
      <c r="U17" s="24"/>
    </row>
    <row r="18" spans="1:21" x14ac:dyDescent="0.2">
      <c r="A18" s="92" t="s">
        <v>126</v>
      </c>
      <c r="E18" s="49">
        <v>4312</v>
      </c>
      <c r="F18" s="49">
        <v>4714</v>
      </c>
      <c r="G18" s="49">
        <v>4928</v>
      </c>
      <c r="H18" s="49">
        <v>5045</v>
      </c>
      <c r="I18" s="49">
        <v>5205</v>
      </c>
      <c r="J18" s="49">
        <v>5521</v>
      </c>
      <c r="K18" s="49">
        <v>5784</v>
      </c>
      <c r="L18" s="49">
        <v>5947</v>
      </c>
      <c r="M18" s="49">
        <v>5993</v>
      </c>
      <c r="N18" s="49">
        <v>6361</v>
      </c>
      <c r="O18" s="49">
        <v>6596</v>
      </c>
      <c r="P18" s="49">
        <v>6875</v>
      </c>
      <c r="R18" s="138" t="s">
        <v>252</v>
      </c>
      <c r="U18" s="24"/>
    </row>
    <row r="19" spans="1:21" x14ac:dyDescent="0.2">
      <c r="A19" s="132" t="s">
        <v>127</v>
      </c>
      <c r="J19" s="49">
        <v>59</v>
      </c>
      <c r="K19" s="49">
        <v>137</v>
      </c>
      <c r="L19" s="49">
        <v>155</v>
      </c>
      <c r="M19" s="49">
        <v>155</v>
      </c>
      <c r="N19" s="49">
        <v>129</v>
      </c>
      <c r="O19" s="49">
        <v>109</v>
      </c>
      <c r="P19" s="49">
        <v>120</v>
      </c>
      <c r="U19" s="24"/>
    </row>
    <row r="20" spans="1:21" x14ac:dyDescent="0.2">
      <c r="A20" s="132" t="s">
        <v>128</v>
      </c>
      <c r="N20" s="49">
        <v>561</v>
      </c>
      <c r="U20" s="24"/>
    </row>
    <row r="21" spans="1:21" x14ac:dyDescent="0.2">
      <c r="A21" s="132" t="s">
        <v>129</v>
      </c>
      <c r="E21" s="49">
        <v>-4059</v>
      </c>
      <c r="F21" s="49">
        <v>-4490</v>
      </c>
      <c r="G21" s="49">
        <v>-4561</v>
      </c>
      <c r="H21" s="49">
        <v>-4790</v>
      </c>
      <c r="I21" s="49">
        <v>-5027</v>
      </c>
      <c r="J21" s="49">
        <v>-5326</v>
      </c>
      <c r="K21" s="49">
        <v>-5517</v>
      </c>
      <c r="L21" s="49">
        <v>-5774</v>
      </c>
      <c r="M21" s="49">
        <v>-6035</v>
      </c>
      <c r="N21" s="49">
        <v>-6672</v>
      </c>
      <c r="O21" s="49">
        <v>-6948</v>
      </c>
      <c r="P21" s="49">
        <v>-6814</v>
      </c>
      <c r="U21" s="24"/>
    </row>
    <row r="22" spans="1:21" x14ac:dyDescent="0.2">
      <c r="A22" s="132" t="s">
        <v>130</v>
      </c>
      <c r="N22" s="49">
        <v>5032</v>
      </c>
      <c r="U22" s="24"/>
    </row>
    <row r="23" spans="1:21" x14ac:dyDescent="0.2">
      <c r="A23" s="136" t="s">
        <v>131</v>
      </c>
      <c r="E23" s="49">
        <v>23</v>
      </c>
      <c r="F23" s="49">
        <v>159</v>
      </c>
      <c r="G23" s="49">
        <v>520</v>
      </c>
      <c r="H23" s="49">
        <v>13</v>
      </c>
      <c r="I23" s="49">
        <v>24</v>
      </c>
      <c r="J23" s="49">
        <v>28</v>
      </c>
      <c r="K23" s="49">
        <v>33</v>
      </c>
      <c r="L23" s="49">
        <v>24</v>
      </c>
      <c r="M23" s="49">
        <v>24</v>
      </c>
      <c r="N23" s="49">
        <v>35</v>
      </c>
      <c r="O23" s="49">
        <v>24</v>
      </c>
      <c r="P23" s="49">
        <v>41</v>
      </c>
      <c r="Q23" s="49">
        <f>AVERAGE(E23:P23)</f>
        <v>79</v>
      </c>
      <c r="R23" s="65">
        <f>Q23/SUM(Q$23:Q$25)*$S$24</f>
        <v>94.889518413597742</v>
      </c>
      <c r="U23" s="24"/>
    </row>
    <row r="24" spans="1:21" x14ac:dyDescent="0.2">
      <c r="A24" s="136" t="s">
        <v>132</v>
      </c>
      <c r="G24" s="49">
        <v>-202</v>
      </c>
      <c r="I24" s="49">
        <v>-79</v>
      </c>
      <c r="M24" s="49">
        <v>-672</v>
      </c>
      <c r="N24" s="49">
        <v>-564</v>
      </c>
      <c r="O24" s="49">
        <v>5</v>
      </c>
      <c r="P24" s="49">
        <v>6</v>
      </c>
      <c r="Q24" s="49">
        <f>AVERAGE(E24:P24)</f>
        <v>-251</v>
      </c>
      <c r="R24" s="65">
        <f t="shared" ref="R24:R25" si="1">Q24/SUM(Q$23:Q$25)*$S$24</f>
        <v>-301.48441926345612</v>
      </c>
      <c r="S24" s="49">
        <v>848</v>
      </c>
    </row>
    <row r="25" spans="1:21" x14ac:dyDescent="0.2">
      <c r="A25" s="136" t="s">
        <v>133</v>
      </c>
      <c r="E25" s="49">
        <v>-69</v>
      </c>
      <c r="F25" s="49">
        <v>3161</v>
      </c>
      <c r="G25" s="49">
        <v>392</v>
      </c>
      <c r="H25" s="49">
        <v>219</v>
      </c>
      <c r="I25" s="49">
        <v>2996</v>
      </c>
      <c r="J25" s="49">
        <v>1707</v>
      </c>
      <c r="K25" s="49">
        <v>70</v>
      </c>
      <c r="L25" s="49">
        <v>435</v>
      </c>
      <c r="M25" s="49">
        <v>100</v>
      </c>
      <c r="N25" s="49">
        <v>46</v>
      </c>
      <c r="O25" s="49">
        <v>1469</v>
      </c>
      <c r="P25" s="49">
        <v>10</v>
      </c>
      <c r="Q25" s="49">
        <f>AVERAGE(E25:P25)</f>
        <v>878</v>
      </c>
      <c r="R25" s="65">
        <f t="shared" si="1"/>
        <v>1054.5949008498585</v>
      </c>
    </row>
    <row r="26" spans="1:21" x14ac:dyDescent="0.2">
      <c r="A26" s="132" t="s">
        <v>134</v>
      </c>
      <c r="E26" s="49">
        <v>-74</v>
      </c>
      <c r="F26" s="49">
        <v>15</v>
      </c>
      <c r="G26" s="49">
        <v>18</v>
      </c>
      <c r="H26" s="49">
        <v>-27</v>
      </c>
      <c r="I26" s="49">
        <v>-25</v>
      </c>
      <c r="J26" s="49">
        <v>11</v>
      </c>
      <c r="K26" s="49">
        <v>13</v>
      </c>
      <c r="L26" s="49">
        <v>14</v>
      </c>
      <c r="M26" s="49">
        <v>16</v>
      </c>
      <c r="N26" s="49">
        <v>21</v>
      </c>
      <c r="O26" s="49">
        <v>8</v>
      </c>
      <c r="Q26" s="49">
        <f>Q23+Q24+Q25</f>
        <v>706</v>
      </c>
      <c r="R26" s="65">
        <f>R23+R24+R25</f>
        <v>848.00000000000011</v>
      </c>
    </row>
    <row r="27" spans="1:21" x14ac:dyDescent="0.2">
      <c r="A27" s="133" t="s">
        <v>135</v>
      </c>
      <c r="B27" s="93"/>
      <c r="C27" s="93"/>
      <c r="D27" s="93"/>
      <c r="E27" s="93">
        <v>2209</v>
      </c>
      <c r="F27" s="93"/>
      <c r="G27" s="93"/>
      <c r="H27" s="93"/>
      <c r="I27" s="93"/>
      <c r="J27" s="93"/>
      <c r="K27" s="93"/>
      <c r="L27" s="93"/>
      <c r="M27" s="93"/>
      <c r="N27" s="93"/>
      <c r="O27" s="93"/>
      <c r="P27" s="93"/>
    </row>
    <row r="28" spans="1:21" x14ac:dyDescent="0.2">
      <c r="A28" s="53" t="s">
        <v>136</v>
      </c>
      <c r="E28" s="49">
        <v>71693</v>
      </c>
      <c r="F28" s="49">
        <v>77058</v>
      </c>
      <c r="G28" s="49">
        <v>80051</v>
      </c>
      <c r="H28" s="49">
        <v>82477</v>
      </c>
      <c r="I28" s="49">
        <v>87629</v>
      </c>
      <c r="J28" s="49">
        <v>91859</v>
      </c>
      <c r="K28" s="49">
        <v>94659</v>
      </c>
      <c r="L28" s="49">
        <v>97757</v>
      </c>
      <c r="M28" s="49">
        <v>99666</v>
      </c>
      <c r="N28" s="49">
        <v>106993</v>
      </c>
      <c r="O28" s="49">
        <f>110835</f>
        <v>110835</v>
      </c>
      <c r="P28" s="49">
        <v>113750</v>
      </c>
    </row>
    <row r="29" spans="1:21" x14ac:dyDescent="0.2">
      <c r="A29" s="53" t="s">
        <v>137</v>
      </c>
      <c r="F29" s="54">
        <v>-5552</v>
      </c>
      <c r="G29" s="54">
        <v>-4984</v>
      </c>
      <c r="H29" s="54">
        <v>-4540</v>
      </c>
      <c r="I29" s="54">
        <v>-6838</v>
      </c>
      <c r="J29" s="54">
        <v>-7752</v>
      </c>
      <c r="K29" s="54">
        <v>-6943</v>
      </c>
      <c r="L29" s="54">
        <v>-6509</v>
      </c>
      <c r="M29" s="54">
        <v>-5304</v>
      </c>
      <c r="N29" s="54">
        <v>-4239</v>
      </c>
      <c r="O29" s="54">
        <v>-5179</v>
      </c>
      <c r="P29" s="54">
        <v>-4440</v>
      </c>
    </row>
    <row r="30" spans="1:21" x14ac:dyDescent="0.2">
      <c r="A30" s="53"/>
      <c r="F30" s="54"/>
      <c r="G30" s="54"/>
      <c r="H30" s="54"/>
      <c r="I30" s="54"/>
      <c r="J30" s="54"/>
      <c r="K30" s="54"/>
      <c r="L30" s="54"/>
      <c r="M30" s="54"/>
      <c r="N30" s="54"/>
      <c r="O30" s="54"/>
      <c r="P30" s="54"/>
    </row>
    <row r="31" spans="1:21" s="103" customFormat="1" x14ac:dyDescent="0.2">
      <c r="A31" s="103" t="s">
        <v>240</v>
      </c>
    </row>
    <row r="32" spans="1:21" x14ac:dyDescent="0.2">
      <c r="A32" s="53"/>
      <c r="F32" s="54"/>
      <c r="G32" s="54"/>
      <c r="H32" s="54"/>
      <c r="I32" s="54"/>
      <c r="J32" s="54"/>
      <c r="K32" s="54"/>
      <c r="L32" s="54"/>
      <c r="M32" s="54"/>
      <c r="N32" s="54"/>
      <c r="O32" s="54"/>
      <c r="P32" s="54"/>
    </row>
    <row r="33" spans="1:18" s="106" customFormat="1" ht="16" x14ac:dyDescent="0.2">
      <c r="A33" s="105" t="s">
        <v>241</v>
      </c>
      <c r="B33" s="107">
        <v>1</v>
      </c>
      <c r="C33" s="107">
        <v>1</v>
      </c>
      <c r="D33" s="107">
        <v>1</v>
      </c>
      <c r="E33" s="107">
        <v>1</v>
      </c>
      <c r="F33" s="107">
        <v>1</v>
      </c>
      <c r="G33" s="107">
        <v>1</v>
      </c>
      <c r="H33" s="107">
        <v>1</v>
      </c>
      <c r="I33" s="107">
        <v>1</v>
      </c>
      <c r="J33" s="107">
        <v>1</v>
      </c>
      <c r="K33" s="107">
        <v>1</v>
      </c>
      <c r="L33" s="107">
        <v>1</v>
      </c>
      <c r="M33" s="107">
        <v>1</v>
      </c>
      <c r="N33" s="107">
        <v>1</v>
      </c>
      <c r="O33" s="107">
        <v>1</v>
      </c>
      <c r="P33" s="107">
        <v>1</v>
      </c>
      <c r="Q33" s="107"/>
      <c r="R33" s="108"/>
    </row>
    <row r="34" spans="1:18" ht="16" x14ac:dyDescent="0.2">
      <c r="A34" s="104" t="s">
        <v>158</v>
      </c>
      <c r="B34" s="54"/>
      <c r="C34" s="54"/>
      <c r="D34" s="54"/>
      <c r="E34" s="54"/>
      <c r="F34" s="54"/>
      <c r="G34" s="54"/>
      <c r="H34" s="54"/>
      <c r="I34" s="54"/>
      <c r="J34" s="54"/>
      <c r="K34" s="54"/>
      <c r="L34" s="54"/>
      <c r="M34" s="54"/>
      <c r="N34" s="54"/>
      <c r="O34" s="54"/>
      <c r="P34" s="54"/>
    </row>
    <row r="35" spans="1:18" x14ac:dyDescent="0.2">
      <c r="A35" s="53"/>
      <c r="F35" s="54"/>
      <c r="G35" s="54"/>
      <c r="H35" s="54"/>
      <c r="I35" s="54"/>
      <c r="J35" s="54"/>
      <c r="K35" s="54"/>
      <c r="L35" s="54"/>
      <c r="M35" s="54"/>
      <c r="N35" s="54"/>
      <c r="O35" s="54"/>
      <c r="P35" s="54"/>
    </row>
    <row r="36" spans="1:18" ht="16" x14ac:dyDescent="0.2">
      <c r="A36" s="28" t="s">
        <v>139</v>
      </c>
      <c r="E36" s="110">
        <f t="shared" ref="E36:P36" si="2">E16/E$33</f>
        <v>67815</v>
      </c>
      <c r="F36" s="110">
        <f t="shared" si="2"/>
        <v>71693</v>
      </c>
      <c r="G36" s="110">
        <f t="shared" si="2"/>
        <v>77058</v>
      </c>
      <c r="H36" s="110">
        <f t="shared" si="2"/>
        <v>80051</v>
      </c>
      <c r="I36" s="110">
        <f t="shared" si="2"/>
        <v>82477</v>
      </c>
      <c r="J36" s="110">
        <f t="shared" si="2"/>
        <v>87629</v>
      </c>
      <c r="K36" s="110">
        <f t="shared" si="2"/>
        <v>91859</v>
      </c>
      <c r="L36" s="110">
        <f t="shared" si="2"/>
        <v>94659</v>
      </c>
      <c r="M36" s="110">
        <f t="shared" si="2"/>
        <v>97757</v>
      </c>
      <c r="N36" s="110">
        <f t="shared" si="2"/>
        <v>99666</v>
      </c>
      <c r="O36" s="110">
        <f t="shared" si="2"/>
        <v>106993</v>
      </c>
      <c r="P36" s="110">
        <f t="shared" si="2"/>
        <v>110835</v>
      </c>
    </row>
    <row r="37" spans="1:18" ht="16" x14ac:dyDescent="0.2">
      <c r="A37" s="28" t="s">
        <v>140</v>
      </c>
      <c r="E37" s="110">
        <f t="shared" ref="E37:O38" si="3">E17/E$33</f>
        <v>1536</v>
      </c>
      <c r="F37" s="110">
        <f t="shared" si="3"/>
        <v>1806</v>
      </c>
      <c r="G37" s="110">
        <f t="shared" si="3"/>
        <v>1898</v>
      </c>
      <c r="H37" s="110">
        <f t="shared" si="3"/>
        <v>1966</v>
      </c>
      <c r="I37" s="110">
        <f t="shared" si="3"/>
        <v>2058</v>
      </c>
      <c r="J37" s="110">
        <f t="shared" si="3"/>
        <v>2230</v>
      </c>
      <c r="K37" s="110">
        <f t="shared" si="3"/>
        <v>2280</v>
      </c>
      <c r="L37" s="110">
        <f t="shared" si="3"/>
        <v>2297</v>
      </c>
      <c r="M37" s="110">
        <f t="shared" si="3"/>
        <v>2328</v>
      </c>
      <c r="N37" s="110">
        <f t="shared" si="3"/>
        <v>2378</v>
      </c>
      <c r="O37" s="110">
        <f t="shared" si="3"/>
        <v>2579</v>
      </c>
      <c r="P37" s="110">
        <f>P17/P$33</f>
        <v>2677</v>
      </c>
    </row>
    <row r="38" spans="1:18" ht="16" x14ac:dyDescent="0.2">
      <c r="A38" s="28" t="s">
        <v>141</v>
      </c>
      <c r="E38" s="110">
        <f t="shared" si="3"/>
        <v>4312</v>
      </c>
      <c r="F38" s="110">
        <f t="shared" si="3"/>
        <v>4714</v>
      </c>
      <c r="G38" s="110">
        <f t="shared" si="3"/>
        <v>4928</v>
      </c>
      <c r="H38" s="110">
        <f t="shared" si="3"/>
        <v>5045</v>
      </c>
      <c r="I38" s="110">
        <f t="shared" si="3"/>
        <v>5205</v>
      </c>
      <c r="J38" s="110">
        <f t="shared" si="3"/>
        <v>5521</v>
      </c>
      <c r="K38" s="110">
        <f t="shared" si="3"/>
        <v>5784</v>
      </c>
      <c r="L38" s="110">
        <f t="shared" si="3"/>
        <v>5947</v>
      </c>
      <c r="M38" s="110">
        <f t="shared" si="3"/>
        <v>5993</v>
      </c>
      <c r="N38" s="110">
        <f t="shared" si="3"/>
        <v>6361</v>
      </c>
      <c r="O38" s="110">
        <f t="shared" si="3"/>
        <v>6596</v>
      </c>
      <c r="P38" s="110">
        <f>P18/P$33</f>
        <v>6875</v>
      </c>
    </row>
    <row r="39" spans="1:18" ht="16" x14ac:dyDescent="0.2">
      <c r="A39" s="28" t="s">
        <v>143</v>
      </c>
      <c r="E39" s="110">
        <f t="shared" ref="E39:N39" si="4">E21/E$33</f>
        <v>-4059</v>
      </c>
      <c r="F39" s="110">
        <f t="shared" si="4"/>
        <v>-4490</v>
      </c>
      <c r="G39" s="110">
        <f t="shared" si="4"/>
        <v>-4561</v>
      </c>
      <c r="H39" s="110">
        <f t="shared" si="4"/>
        <v>-4790</v>
      </c>
      <c r="I39" s="110">
        <f t="shared" si="4"/>
        <v>-5027</v>
      </c>
      <c r="J39" s="110">
        <f t="shared" si="4"/>
        <v>-5326</v>
      </c>
      <c r="K39" s="110">
        <f t="shared" si="4"/>
        <v>-5517</v>
      </c>
      <c r="L39" s="110">
        <f t="shared" si="4"/>
        <v>-5774</v>
      </c>
      <c r="M39" s="110">
        <f t="shared" si="4"/>
        <v>-6035</v>
      </c>
      <c r="N39" s="110">
        <f t="shared" si="4"/>
        <v>-6672</v>
      </c>
      <c r="O39" s="110">
        <f>O21/O$33</f>
        <v>-6948</v>
      </c>
      <c r="P39" s="110">
        <f>P21/P$33</f>
        <v>-6814</v>
      </c>
    </row>
    <row r="40" spans="1:18" ht="16" x14ac:dyDescent="0.2">
      <c r="A40" s="28" t="s">
        <v>142</v>
      </c>
      <c r="E40" s="110">
        <f>(E19+E26)/E$33</f>
        <v>-74</v>
      </c>
      <c r="F40" s="110">
        <f t="shared" ref="F40:O40" si="5">(F19+F26)/F$33</f>
        <v>15</v>
      </c>
      <c r="G40" s="110">
        <f t="shared" si="5"/>
        <v>18</v>
      </c>
      <c r="H40" s="110">
        <f t="shared" si="5"/>
        <v>-27</v>
      </c>
      <c r="I40" s="110">
        <f t="shared" si="5"/>
        <v>-25</v>
      </c>
      <c r="J40" s="110">
        <f t="shared" si="5"/>
        <v>70</v>
      </c>
      <c r="K40" s="110">
        <f t="shared" si="5"/>
        <v>150</v>
      </c>
      <c r="L40" s="110">
        <f t="shared" si="5"/>
        <v>169</v>
      </c>
      <c r="M40" s="110">
        <f t="shared" si="5"/>
        <v>171</v>
      </c>
      <c r="N40" s="110">
        <f t="shared" si="5"/>
        <v>150</v>
      </c>
      <c r="O40" s="110">
        <f t="shared" si="5"/>
        <v>117</v>
      </c>
      <c r="P40" s="110">
        <f>(P19+P26)/P$33</f>
        <v>120</v>
      </c>
    </row>
    <row r="41" spans="1:18" ht="16" x14ac:dyDescent="0.2">
      <c r="A41" s="28" t="s">
        <v>229</v>
      </c>
      <c r="E41" s="110">
        <f>(E23+E24+E25)/E$33</f>
        <v>-46</v>
      </c>
      <c r="F41" s="110">
        <f t="shared" ref="F41:O41" si="6">(F23+F24+F25)/F$33</f>
        <v>3320</v>
      </c>
      <c r="G41" s="110">
        <f t="shared" si="6"/>
        <v>710</v>
      </c>
      <c r="H41" s="110">
        <f t="shared" si="6"/>
        <v>232</v>
      </c>
      <c r="I41" s="110">
        <f t="shared" si="6"/>
        <v>2941</v>
      </c>
      <c r="J41" s="110">
        <f t="shared" si="6"/>
        <v>1735</v>
      </c>
      <c r="K41" s="110">
        <f t="shared" si="6"/>
        <v>103</v>
      </c>
      <c r="L41" s="110">
        <f t="shared" si="6"/>
        <v>459</v>
      </c>
      <c r="M41" s="110">
        <f t="shared" si="6"/>
        <v>-548</v>
      </c>
      <c r="N41" s="110">
        <f t="shared" si="6"/>
        <v>-483</v>
      </c>
      <c r="O41" s="110">
        <f t="shared" si="6"/>
        <v>1498</v>
      </c>
      <c r="P41" s="110">
        <f>(P23+P24+P25)/P$33</f>
        <v>57</v>
      </c>
    </row>
    <row r="42" spans="1:18" ht="16" x14ac:dyDescent="0.2">
      <c r="A42" s="28" t="s">
        <v>227</v>
      </c>
      <c r="E42" s="110">
        <f t="shared" ref="E42:P42" si="7">SUM(E36:E41)</f>
        <v>69484</v>
      </c>
      <c r="F42" s="110">
        <f t="shared" si="7"/>
        <v>77058</v>
      </c>
      <c r="G42" s="110">
        <f t="shared" si="7"/>
        <v>80051</v>
      </c>
      <c r="H42" s="110">
        <f t="shared" si="7"/>
        <v>82477</v>
      </c>
      <c r="I42" s="110">
        <f t="shared" si="7"/>
        <v>87629</v>
      </c>
      <c r="J42" s="110">
        <f t="shared" si="7"/>
        <v>91859</v>
      </c>
      <c r="K42" s="110">
        <f t="shared" si="7"/>
        <v>94659</v>
      </c>
      <c r="L42" s="110">
        <f t="shared" si="7"/>
        <v>97757</v>
      </c>
      <c r="M42" s="110">
        <f t="shared" si="7"/>
        <v>99666</v>
      </c>
      <c r="N42" s="110">
        <f t="shared" si="7"/>
        <v>101400</v>
      </c>
      <c r="O42" s="110">
        <f t="shared" si="7"/>
        <v>110835</v>
      </c>
      <c r="P42" s="110">
        <f t="shared" si="7"/>
        <v>113750</v>
      </c>
    </row>
    <row r="43" spans="1:18" ht="16" x14ac:dyDescent="0.2">
      <c r="A43" s="28" t="s">
        <v>144</v>
      </c>
      <c r="E43" s="110">
        <f t="shared" ref="E43:O43" si="8">E29/E$33</f>
        <v>0</v>
      </c>
      <c r="F43" s="110">
        <f t="shared" si="8"/>
        <v>-5552</v>
      </c>
      <c r="G43" s="110">
        <f t="shared" si="8"/>
        <v>-4984</v>
      </c>
      <c r="H43" s="110">
        <f t="shared" si="8"/>
        <v>-4540</v>
      </c>
      <c r="I43" s="110">
        <f t="shared" si="8"/>
        <v>-6838</v>
      </c>
      <c r="J43" s="110">
        <f t="shared" si="8"/>
        <v>-7752</v>
      </c>
      <c r="K43" s="110">
        <f t="shared" si="8"/>
        <v>-6943</v>
      </c>
      <c r="L43" s="110">
        <f t="shared" si="8"/>
        <v>-6509</v>
      </c>
      <c r="M43" s="110">
        <f t="shared" si="8"/>
        <v>-5304</v>
      </c>
      <c r="N43" s="110">
        <f t="shared" si="8"/>
        <v>-4239</v>
      </c>
      <c r="O43" s="110">
        <f t="shared" si="8"/>
        <v>-5179</v>
      </c>
      <c r="P43" s="110">
        <f>P29/P$33</f>
        <v>-4440</v>
      </c>
    </row>
    <row r="44" spans="1:18" ht="16" x14ac:dyDescent="0.2">
      <c r="A44" s="28" t="s">
        <v>147</v>
      </c>
      <c r="E44" s="110">
        <f t="shared" ref="E44:O44" si="9">-E7/E$33</f>
        <v>36854</v>
      </c>
      <c r="F44" s="110">
        <f t="shared" si="9"/>
        <v>41581</v>
      </c>
      <c r="G44" s="110">
        <f t="shared" si="9"/>
        <v>46017</v>
      </c>
      <c r="H44" s="110">
        <f t="shared" si="9"/>
        <v>49210</v>
      </c>
      <c r="I44" s="110">
        <f t="shared" si="9"/>
        <v>52432</v>
      </c>
      <c r="J44" s="110">
        <f t="shared" si="9"/>
        <v>55570</v>
      </c>
      <c r="K44" s="110">
        <f t="shared" si="9"/>
        <v>59675</v>
      </c>
      <c r="L44" s="110">
        <f t="shared" si="9"/>
        <v>64550</v>
      </c>
      <c r="M44" s="110">
        <f t="shared" si="9"/>
        <v>69685</v>
      </c>
      <c r="N44" s="110">
        <f t="shared" si="9"/>
        <v>80733</v>
      </c>
      <c r="O44" s="110">
        <f t="shared" si="9"/>
        <v>87075</v>
      </c>
      <c r="P44" s="110">
        <f>-P7/P$33</f>
        <v>94346</v>
      </c>
    </row>
    <row r="45" spans="1:18" ht="16" x14ac:dyDescent="0.2">
      <c r="A45" s="28" t="s">
        <v>145</v>
      </c>
      <c r="E45" s="110">
        <f t="shared" ref="E45:O45" si="10">E11/E$33</f>
        <v>1114</v>
      </c>
      <c r="F45" s="110">
        <f t="shared" si="10"/>
        <v>1238</v>
      </c>
      <c r="G45" s="110">
        <f t="shared" si="10"/>
        <v>1222</v>
      </c>
      <c r="H45" s="110">
        <f t="shared" si="10"/>
        <v>1243</v>
      </c>
      <c r="I45" s="110">
        <f t="shared" si="10"/>
        <v>1262</v>
      </c>
      <c r="J45" s="110">
        <f t="shared" si="10"/>
        <v>1422</v>
      </c>
      <c r="K45" s="110">
        <f t="shared" si="10"/>
        <v>1488</v>
      </c>
      <c r="L45" s="110">
        <f t="shared" si="10"/>
        <v>1475</v>
      </c>
      <c r="M45" s="110">
        <f t="shared" si="10"/>
        <v>1479</v>
      </c>
      <c r="N45" s="110">
        <f t="shared" si="10"/>
        <v>1480</v>
      </c>
      <c r="O45" s="110">
        <f t="shared" si="10"/>
        <v>1471</v>
      </c>
      <c r="P45" s="110">
        <f>P11/P$33</f>
        <v>1450</v>
      </c>
    </row>
    <row r="46" spans="1:18" ht="16" x14ac:dyDescent="0.2">
      <c r="A46" s="28" t="s">
        <v>228</v>
      </c>
      <c r="E46" s="110">
        <f t="shared" ref="E46:O46" si="11">-E12/E$33</f>
        <v>1055</v>
      </c>
      <c r="F46" s="110">
        <f t="shared" si="11"/>
        <v>1106</v>
      </c>
      <c r="G46" s="110">
        <f t="shared" si="11"/>
        <v>1147</v>
      </c>
      <c r="H46" s="110">
        <f t="shared" si="11"/>
        <v>1196</v>
      </c>
      <c r="I46" s="110">
        <f t="shared" si="11"/>
        <v>1243</v>
      </c>
      <c r="J46" s="110">
        <f t="shared" si="11"/>
        <v>1287</v>
      </c>
      <c r="K46" s="110">
        <f t="shared" si="11"/>
        <v>1357</v>
      </c>
      <c r="L46" s="110">
        <f t="shared" si="11"/>
        <v>1428</v>
      </c>
      <c r="M46" s="110">
        <f t="shared" si="11"/>
        <v>1509</v>
      </c>
      <c r="N46" s="110">
        <f t="shared" si="11"/>
        <v>1598</v>
      </c>
      <c r="O46" s="110">
        <f t="shared" si="11"/>
        <v>1690</v>
      </c>
      <c r="P46" s="110">
        <f>-P12/P$33</f>
        <v>1698</v>
      </c>
    </row>
    <row r="47" spans="1:18" ht="16" x14ac:dyDescent="0.2">
      <c r="A47" s="28" t="s">
        <v>146</v>
      </c>
      <c r="E47" s="81">
        <f t="shared" ref="E47:O47" si="12">E42+E43+E45-E46-E44</f>
        <v>32689</v>
      </c>
      <c r="F47" s="81">
        <f t="shared" si="12"/>
        <v>30057</v>
      </c>
      <c r="G47" s="81">
        <f t="shared" si="12"/>
        <v>29125</v>
      </c>
      <c r="H47" s="81">
        <f t="shared" si="12"/>
        <v>28774</v>
      </c>
      <c r="I47" s="81">
        <f t="shared" si="12"/>
        <v>28378</v>
      </c>
      <c r="J47" s="81">
        <f t="shared" si="12"/>
        <v>28672</v>
      </c>
      <c r="K47" s="81">
        <f t="shared" si="12"/>
        <v>28172</v>
      </c>
      <c r="L47" s="81">
        <f t="shared" si="12"/>
        <v>26745</v>
      </c>
      <c r="M47" s="81">
        <f t="shared" si="12"/>
        <v>24647</v>
      </c>
      <c r="N47" s="81">
        <f t="shared" si="12"/>
        <v>16310</v>
      </c>
      <c r="O47" s="81">
        <f t="shared" si="12"/>
        <v>18362</v>
      </c>
      <c r="P47" s="81">
        <f>P42+P43+P45-P46-P44</f>
        <v>14716</v>
      </c>
    </row>
    <row r="48" spans="1:18" x14ac:dyDescent="0.2">
      <c r="A48" s="53"/>
      <c r="F48" s="54"/>
      <c r="G48" s="54"/>
      <c r="H48" s="54"/>
      <c r="I48" s="54"/>
      <c r="J48" s="54"/>
      <c r="K48" s="54"/>
      <c r="L48" s="54"/>
      <c r="M48" s="54"/>
      <c r="N48" s="54"/>
      <c r="O48" s="54"/>
      <c r="P48" s="54"/>
    </row>
    <row r="49" spans="1:26" x14ac:dyDescent="0.2">
      <c r="A49" s="53"/>
      <c r="F49" s="54"/>
      <c r="G49" s="54"/>
      <c r="H49" s="54"/>
      <c r="I49" s="54"/>
      <c r="J49" s="54"/>
      <c r="K49" s="54"/>
      <c r="L49" s="54"/>
      <c r="M49" s="54"/>
      <c r="N49" s="54"/>
      <c r="O49" s="54"/>
      <c r="P49" s="54"/>
    </row>
    <row r="50" spans="1:26" ht="16" thickBot="1" x14ac:dyDescent="0.25">
      <c r="A50" s="53"/>
      <c r="C50" s="54"/>
      <c r="D50" s="54"/>
      <c r="E50" s="54"/>
      <c r="F50" s="54"/>
      <c r="G50" s="54"/>
      <c r="H50" s="54"/>
      <c r="I50" s="54"/>
      <c r="J50" s="54"/>
      <c r="K50" s="54"/>
      <c r="L50" s="54"/>
      <c r="M50" s="54"/>
      <c r="N50" s="54"/>
      <c r="O50" s="54"/>
      <c r="P50" s="54"/>
    </row>
    <row r="51" spans="1:26" x14ac:dyDescent="0.2">
      <c r="A51" s="53"/>
      <c r="C51" s="54"/>
      <c r="D51" s="54"/>
      <c r="E51" s="54"/>
      <c r="F51" s="54"/>
      <c r="G51" s="54"/>
      <c r="H51" s="54"/>
      <c r="I51" s="54"/>
      <c r="J51" s="54"/>
      <c r="K51" s="54"/>
      <c r="L51" s="54"/>
      <c r="M51" s="54"/>
      <c r="N51" s="54"/>
      <c r="O51" s="54"/>
      <c r="P51" s="54"/>
      <c r="R51" s="112" t="s">
        <v>242</v>
      </c>
      <c r="S51" s="113" t="s">
        <v>140</v>
      </c>
      <c r="T51" s="114"/>
      <c r="X51" s="112" t="s">
        <v>242</v>
      </c>
      <c r="Y51" s="113" t="s">
        <v>143</v>
      </c>
      <c r="Z51" s="114"/>
    </row>
    <row r="52" spans="1:26" ht="16" thickBot="1" x14ac:dyDescent="0.25">
      <c r="A52" s="53"/>
      <c r="C52" s="54"/>
      <c r="D52" s="54"/>
      <c r="E52" s="54"/>
      <c r="F52" s="54"/>
      <c r="G52" s="54"/>
      <c r="H52" s="54"/>
      <c r="I52" s="54"/>
      <c r="J52" s="54"/>
      <c r="K52" s="54"/>
      <c r="L52" s="54"/>
      <c r="M52" s="54"/>
      <c r="N52" s="54"/>
      <c r="O52" s="54"/>
      <c r="P52" s="54"/>
      <c r="R52" s="115" cm="1">
        <f t="array" ref="R52:S56">LINEST(E37:P37,E1:P1,E37,TRUE)</f>
        <v>88.968531468531467</v>
      </c>
      <c r="S52" s="117">
        <v>-177057.68997668999</v>
      </c>
      <c r="T52" s="116"/>
      <c r="X52" s="115" cm="1">
        <f t="array" ref="X52:Y56">LINEST(E39:P39,E1:P1,E37,TRUE)</f>
        <v>-265.24825174825173</v>
      </c>
      <c r="Y52" s="117">
        <v>528841.51981351979</v>
      </c>
      <c r="Z52" s="116"/>
    </row>
    <row r="53" spans="1:26" x14ac:dyDescent="0.2">
      <c r="A53" s="53"/>
      <c r="C53" s="54"/>
      <c r="D53" s="54"/>
      <c r="E53" s="54"/>
      <c r="F53" s="54"/>
      <c r="G53" s="54"/>
      <c r="H53" s="54"/>
      <c r="I53" s="54"/>
      <c r="J53" s="54"/>
      <c r="K53" s="54"/>
      <c r="L53" s="54"/>
      <c r="M53" s="54"/>
      <c r="N53" s="54"/>
      <c r="O53" s="54"/>
      <c r="P53" s="54"/>
      <c r="R53" s="111">
        <v>6.2060637535783574</v>
      </c>
      <c r="S53" s="111">
        <v>12502.133787388708</v>
      </c>
      <c r="X53" s="111">
        <v>12.788437296332985</v>
      </c>
      <c r="Y53" s="111">
        <v>25762.344758092378</v>
      </c>
    </row>
    <row r="54" spans="1:26" x14ac:dyDescent="0.2">
      <c r="O54" s="54"/>
      <c r="P54" s="54"/>
      <c r="R54" s="111">
        <v>0.95359919684762018</v>
      </c>
      <c r="S54" s="111">
        <v>74.213728553600575</v>
      </c>
      <c r="X54" s="111">
        <v>0.97728303769026992</v>
      </c>
      <c r="Y54" s="111">
        <v>152.92746768635251</v>
      </c>
    </row>
    <row r="55" spans="1:26" x14ac:dyDescent="0.2">
      <c r="O55" s="54"/>
      <c r="P55" s="54"/>
      <c r="R55" s="111">
        <v>205.51351098730089</v>
      </c>
      <c r="S55" s="111">
        <v>10</v>
      </c>
      <c r="X55" s="111">
        <v>430.19970027932902</v>
      </c>
      <c r="Y55" s="111">
        <v>10</v>
      </c>
    </row>
    <row r="56" spans="1:26" x14ac:dyDescent="0.2">
      <c r="O56" s="54"/>
      <c r="P56" s="54"/>
      <c r="R56" s="111">
        <v>1131902.1416083917</v>
      </c>
      <c r="S56" s="111">
        <v>55076.775058275089</v>
      </c>
      <c r="X56" s="111">
        <v>10060998.812937062</v>
      </c>
      <c r="Y56" s="111">
        <v>233868.1037296039</v>
      </c>
    </row>
    <row r="57" spans="1:26" x14ac:dyDescent="0.2">
      <c r="O57" s="54"/>
      <c r="P57" s="54"/>
      <c r="S57" s="111"/>
    </row>
    <row r="58" spans="1:26" s="103" customFormat="1" x14ac:dyDescent="0.2">
      <c r="A58" s="103" t="s">
        <v>232</v>
      </c>
      <c r="B58" s="103" t="s">
        <v>233</v>
      </c>
    </row>
    <row r="59" spans="1:26" ht="16" thickBot="1" x14ac:dyDescent="0.25"/>
    <row r="60" spans="1:26" x14ac:dyDescent="0.2">
      <c r="B60" s="94" t="s">
        <v>234</v>
      </c>
      <c r="C60" s="95" t="s">
        <v>235</v>
      </c>
      <c r="D60" s="49">
        <v>2015</v>
      </c>
      <c r="E60" s="49">
        <v>2016</v>
      </c>
      <c r="F60" s="49">
        <v>2017</v>
      </c>
      <c r="G60" s="49">
        <v>2018</v>
      </c>
      <c r="H60" s="49">
        <v>2019</v>
      </c>
      <c r="I60" s="49">
        <v>2020</v>
      </c>
      <c r="J60" s="49">
        <f>I60+1</f>
        <v>2021</v>
      </c>
      <c r="K60" s="49">
        <f>J60+1</f>
        <v>2022</v>
      </c>
      <c r="L60" s="49">
        <f>K60+1</f>
        <v>2023</v>
      </c>
      <c r="M60" s="49">
        <f>L60+1</f>
        <v>2024</v>
      </c>
      <c r="N60" s="49">
        <f>M60+1</f>
        <v>2025</v>
      </c>
      <c r="O60" s="49">
        <v>2026</v>
      </c>
    </row>
    <row r="61" spans="1:26" ht="16" x14ac:dyDescent="0.2">
      <c r="A61" s="78" t="s">
        <v>139</v>
      </c>
      <c r="B61" s="96"/>
      <c r="C61" s="97"/>
      <c r="D61" s="65">
        <f>K36</f>
        <v>91859</v>
      </c>
      <c r="E61" s="65">
        <f t="shared" ref="E61:I71" si="13">L36</f>
        <v>94659</v>
      </c>
      <c r="F61" s="65">
        <f t="shared" si="13"/>
        <v>97757</v>
      </c>
      <c r="G61" s="65">
        <f t="shared" si="13"/>
        <v>99666</v>
      </c>
      <c r="H61" s="65">
        <f t="shared" si="13"/>
        <v>106993</v>
      </c>
      <c r="I61" s="65">
        <f t="shared" ref="I61:I65" si="14">P36</f>
        <v>110835</v>
      </c>
      <c r="J61" s="174">
        <f>I67</f>
        <v>113750</v>
      </c>
      <c r="K61" s="110">
        <f>J67</f>
        <v>117577.03968531468</v>
      </c>
      <c r="L61" s="110">
        <f>K67</f>
        <v>121482.10936966783</v>
      </c>
      <c r="M61" s="110">
        <f>L67</f>
        <v>125466.8642175788</v>
      </c>
      <c r="N61" s="110">
        <f>M67</f>
        <v>129532.99850170554</v>
      </c>
      <c r="O61" s="65"/>
    </row>
    <row r="62" spans="1:26" ht="16" x14ac:dyDescent="0.2">
      <c r="A62" s="79" t="s">
        <v>140</v>
      </c>
      <c r="B62" s="118">
        <f>R52</f>
        <v>88.968531468531467</v>
      </c>
      <c r="C62" s="98" t="s">
        <v>251</v>
      </c>
      <c r="D62" s="65">
        <f t="shared" ref="D62:D71" si="15">K37</f>
        <v>2280</v>
      </c>
      <c r="E62" s="65">
        <f t="shared" si="13"/>
        <v>2297</v>
      </c>
      <c r="F62" s="65">
        <f t="shared" si="13"/>
        <v>2328</v>
      </c>
      <c r="G62" s="65">
        <f t="shared" si="13"/>
        <v>2378</v>
      </c>
      <c r="H62" s="65">
        <f t="shared" si="13"/>
        <v>2579</v>
      </c>
      <c r="I62" s="65">
        <f t="shared" si="14"/>
        <v>2677</v>
      </c>
      <c r="J62" s="174">
        <f>I62+$B62*(1.02)^(J$60-$I$60)</f>
        <v>2767.7479020979022</v>
      </c>
      <c r="K62" s="110">
        <f t="shared" ref="K62:M62" si="16">J62+$B62*(1.02)^(K$60-$I$60)</f>
        <v>2860.3107622377624</v>
      </c>
      <c r="L62" s="110">
        <f t="shared" si="16"/>
        <v>2954.7248795804198</v>
      </c>
      <c r="M62" s="110">
        <f t="shared" si="16"/>
        <v>3051.0272792699302</v>
      </c>
      <c r="N62" s="110">
        <f>M62+$B62*(1.02)^(N$60-$I$60)</f>
        <v>3149.2557269532308</v>
      </c>
    </row>
    <row r="63" spans="1:26" ht="16" x14ac:dyDescent="0.2">
      <c r="A63" s="79" t="s">
        <v>141</v>
      </c>
      <c r="B63" s="121">
        <v>6.3500000000000001E-2</v>
      </c>
      <c r="C63" s="98" t="s">
        <v>138</v>
      </c>
      <c r="D63" s="65">
        <f t="shared" si="15"/>
        <v>5784</v>
      </c>
      <c r="E63" s="65">
        <f t="shared" si="13"/>
        <v>5947</v>
      </c>
      <c r="F63" s="65">
        <f t="shared" si="13"/>
        <v>5993</v>
      </c>
      <c r="G63" s="65">
        <f t="shared" si="13"/>
        <v>6361</v>
      </c>
      <c r="H63" s="65">
        <f t="shared" si="13"/>
        <v>6596</v>
      </c>
      <c r="I63" s="65">
        <f t="shared" si="14"/>
        <v>6875</v>
      </c>
      <c r="J63" s="174">
        <f>(0.0635)*J61</f>
        <v>7223.125</v>
      </c>
      <c r="K63" s="110">
        <f t="shared" ref="K63:N63" si="17">(0.0635)*K61</f>
        <v>7466.1420200174825</v>
      </c>
      <c r="L63" s="110">
        <f t="shared" si="17"/>
        <v>7714.1139449739076</v>
      </c>
      <c r="M63" s="110">
        <f t="shared" si="17"/>
        <v>7967.1458778162541</v>
      </c>
      <c r="N63" s="110">
        <f t="shared" si="17"/>
        <v>8225.3454048583026</v>
      </c>
    </row>
    <row r="64" spans="1:26" ht="16" x14ac:dyDescent="0.2">
      <c r="A64" s="79" t="s">
        <v>143</v>
      </c>
      <c r="B64" s="119">
        <f>X52</f>
        <v>-265.24825174825173</v>
      </c>
      <c r="C64" s="98" t="s">
        <v>148</v>
      </c>
      <c r="D64" s="65">
        <f t="shared" si="15"/>
        <v>-5517</v>
      </c>
      <c r="E64" s="65">
        <f t="shared" si="13"/>
        <v>-5774</v>
      </c>
      <c r="F64" s="65">
        <f t="shared" si="13"/>
        <v>-6035</v>
      </c>
      <c r="G64" s="65">
        <f t="shared" si="13"/>
        <v>-6672</v>
      </c>
      <c r="H64" s="65">
        <f t="shared" si="13"/>
        <v>-6948</v>
      </c>
      <c r="I64" s="65">
        <f t="shared" si="14"/>
        <v>-6814</v>
      </c>
      <c r="J64" s="174">
        <f>I64+$B64*(1.02)^(J$60-$I$60)</f>
        <v>-7084.5532167832171</v>
      </c>
      <c r="K64" s="110">
        <f t="shared" ref="K64:M64" si="18">J64+$B64*(1.02)^(K$60-$I$60)</f>
        <v>-7360.5174979020985</v>
      </c>
      <c r="L64" s="110">
        <f t="shared" si="18"/>
        <v>-7642.0010646433575</v>
      </c>
      <c r="M64" s="110">
        <f t="shared" si="18"/>
        <v>-7929.1143027194412</v>
      </c>
      <c r="N64" s="110">
        <f>M64+$B64*(1.02)^(N$60-$I$60)</f>
        <v>-8221.9698055570461</v>
      </c>
    </row>
    <row r="65" spans="1:15" ht="16" x14ac:dyDescent="0.2">
      <c r="A65" s="79" t="s">
        <v>142</v>
      </c>
      <c r="B65" s="120">
        <f>AVERAGE(E40:P40)</f>
        <v>71.166666666666671</v>
      </c>
      <c r="C65" s="97" t="s">
        <v>236</v>
      </c>
      <c r="D65" s="65">
        <f t="shared" si="15"/>
        <v>150</v>
      </c>
      <c r="E65" s="65">
        <f t="shared" si="13"/>
        <v>169</v>
      </c>
      <c r="F65" s="65">
        <f t="shared" si="13"/>
        <v>171</v>
      </c>
      <c r="G65" s="65">
        <f t="shared" si="13"/>
        <v>150</v>
      </c>
      <c r="H65" s="65">
        <f t="shared" si="13"/>
        <v>117</v>
      </c>
      <c r="I65" s="65">
        <f t="shared" si="14"/>
        <v>120</v>
      </c>
      <c r="J65" s="174">
        <f>$B65*(1.02)^(J$60-$I$60)</f>
        <v>72.59</v>
      </c>
      <c r="K65" s="110">
        <f t="shared" ref="K65:N66" si="19">$B65*(1.02)^(K$60-$I$60)</f>
        <v>74.041800000000009</v>
      </c>
      <c r="L65" s="110">
        <f t="shared" si="19"/>
        <v>75.522636000000006</v>
      </c>
      <c r="M65" s="110">
        <f t="shared" si="19"/>
        <v>77.033088720000009</v>
      </c>
      <c r="N65" s="110">
        <f t="shared" si="19"/>
        <v>78.573750494400002</v>
      </c>
    </row>
    <row r="66" spans="1:15" ht="16" x14ac:dyDescent="0.2">
      <c r="A66" s="80" t="s">
        <v>229</v>
      </c>
      <c r="B66" s="120">
        <f>AVERAGE(E41:P41)</f>
        <v>831.5</v>
      </c>
      <c r="C66" s="97" t="s">
        <v>237</v>
      </c>
      <c r="D66" s="65">
        <f>K41</f>
        <v>103</v>
      </c>
      <c r="E66" s="65">
        <f t="shared" si="13"/>
        <v>459</v>
      </c>
      <c r="F66" s="65">
        <f t="shared" si="13"/>
        <v>-548</v>
      </c>
      <c r="G66" s="65">
        <f t="shared" si="13"/>
        <v>-483</v>
      </c>
      <c r="H66" s="65">
        <f>O41</f>
        <v>1498</v>
      </c>
      <c r="I66" s="65">
        <f>P41</f>
        <v>57</v>
      </c>
      <c r="J66" s="174">
        <f>$B66*(1.02)^(J$60-$I$60)</f>
        <v>848.13</v>
      </c>
      <c r="K66" s="110">
        <f t="shared" si="19"/>
        <v>865.09259999999995</v>
      </c>
      <c r="L66" s="110">
        <f t="shared" si="19"/>
        <v>882.39445199999989</v>
      </c>
      <c r="M66" s="110">
        <f t="shared" si="19"/>
        <v>900.04234104</v>
      </c>
      <c r="N66" s="110">
        <f t="shared" si="19"/>
        <v>918.0431878608</v>
      </c>
    </row>
    <row r="67" spans="1:15" ht="16" x14ac:dyDescent="0.2">
      <c r="A67" s="78" t="s">
        <v>227</v>
      </c>
      <c r="B67" s="118"/>
      <c r="C67" s="97"/>
      <c r="D67" s="65">
        <f t="shared" si="15"/>
        <v>94659</v>
      </c>
      <c r="E67" s="65">
        <f t="shared" si="13"/>
        <v>97757</v>
      </c>
      <c r="F67" s="65">
        <f t="shared" si="13"/>
        <v>99666</v>
      </c>
      <c r="G67" s="65">
        <f t="shared" si="13"/>
        <v>101400</v>
      </c>
      <c r="H67" s="65">
        <f t="shared" si="13"/>
        <v>110835</v>
      </c>
      <c r="I67" s="65">
        <f t="shared" si="13"/>
        <v>113750</v>
      </c>
      <c r="J67" s="65">
        <f>J61+SUM(J62:J66)</f>
        <v>117577.03968531468</v>
      </c>
      <c r="K67" s="65">
        <f t="shared" ref="K67:N67" si="20">K61+SUM(K62:K66)</f>
        <v>121482.10936966783</v>
      </c>
      <c r="L67" s="65">
        <f t="shared" si="20"/>
        <v>125466.8642175788</v>
      </c>
      <c r="M67" s="65">
        <f t="shared" si="20"/>
        <v>129532.99850170554</v>
      </c>
      <c r="N67" s="65">
        <f t="shared" si="20"/>
        <v>133682.24676631522</v>
      </c>
    </row>
    <row r="68" spans="1:15" ht="16" x14ac:dyDescent="0.2">
      <c r="A68" s="79" t="s">
        <v>144</v>
      </c>
      <c r="B68" s="120">
        <f>I68</f>
        <v>-4440</v>
      </c>
      <c r="C68" s="97" t="s">
        <v>248</v>
      </c>
      <c r="D68" s="65">
        <f t="shared" si="15"/>
        <v>-6943</v>
      </c>
      <c r="E68" s="65">
        <f t="shared" si="13"/>
        <v>-6509</v>
      </c>
      <c r="F68" s="65">
        <f t="shared" si="13"/>
        <v>-5304</v>
      </c>
      <c r="G68" s="65">
        <f t="shared" si="13"/>
        <v>-4239</v>
      </c>
      <c r="H68" s="65">
        <f t="shared" si="13"/>
        <v>-5179</v>
      </c>
      <c r="I68" s="65">
        <f>P43</f>
        <v>-4440</v>
      </c>
      <c r="J68" s="65">
        <f>$I68</f>
        <v>-4440</v>
      </c>
      <c r="K68" s="65">
        <f>$I68</f>
        <v>-4440</v>
      </c>
      <c r="L68" s="65">
        <f>$I68</f>
        <v>-4440</v>
      </c>
      <c r="M68" s="65">
        <f>$I68</f>
        <v>-4440</v>
      </c>
      <c r="N68" s="65">
        <f>$I68</f>
        <v>-4440</v>
      </c>
    </row>
    <row r="69" spans="1:15" ht="16" x14ac:dyDescent="0.2">
      <c r="A69" s="79" t="s">
        <v>147</v>
      </c>
      <c r="B69" s="121">
        <v>6.3500000000000001E-2</v>
      </c>
      <c r="C69" s="98" t="s">
        <v>138</v>
      </c>
      <c r="D69" s="65">
        <f t="shared" si="15"/>
        <v>59675</v>
      </c>
      <c r="E69" s="65">
        <f t="shared" si="13"/>
        <v>64550</v>
      </c>
      <c r="F69" s="65">
        <f t="shared" si="13"/>
        <v>69685</v>
      </c>
      <c r="G69" s="65">
        <f t="shared" si="13"/>
        <v>80733</v>
      </c>
      <c r="H69" s="65">
        <f t="shared" si="13"/>
        <v>87075</v>
      </c>
      <c r="I69" s="65">
        <f t="shared" si="13"/>
        <v>94346</v>
      </c>
      <c r="J69" s="65">
        <f>I69*(1.0635)</f>
        <v>100336.97099999999</v>
      </c>
      <c r="K69" s="65">
        <f t="shared" ref="K69:N69" si="21">J69*(1.0635)</f>
        <v>106708.36865849998</v>
      </c>
      <c r="L69" s="65">
        <f t="shared" si="21"/>
        <v>113484.35006831471</v>
      </c>
      <c r="M69" s="65">
        <f t="shared" si="21"/>
        <v>120690.60629765269</v>
      </c>
      <c r="N69" s="65">
        <f t="shared" si="21"/>
        <v>128354.45979755362</v>
      </c>
    </row>
    <row r="70" spans="1:15" ht="16" x14ac:dyDescent="0.2">
      <c r="A70" s="79" t="s">
        <v>145</v>
      </c>
      <c r="B70" s="121">
        <v>6.3500000000000001E-2</v>
      </c>
      <c r="C70" s="98" t="s">
        <v>138</v>
      </c>
      <c r="D70" s="65">
        <f t="shared" si="15"/>
        <v>1488</v>
      </c>
      <c r="E70" s="65">
        <f t="shared" si="13"/>
        <v>1475</v>
      </c>
      <c r="F70" s="65">
        <f t="shared" si="13"/>
        <v>1479</v>
      </c>
      <c r="G70" s="65">
        <f t="shared" si="13"/>
        <v>1480</v>
      </c>
      <c r="H70" s="65">
        <f t="shared" si="13"/>
        <v>1471</v>
      </c>
      <c r="I70" s="65">
        <f t="shared" si="13"/>
        <v>1450</v>
      </c>
      <c r="J70" s="65">
        <f>I70*(1.0635)</f>
        <v>1542.0749999999998</v>
      </c>
      <c r="K70" s="65">
        <f t="shared" ref="K70:N70" si="22">J70*(1.0635)</f>
        <v>1639.9967624999997</v>
      </c>
      <c r="L70" s="65">
        <f t="shared" si="22"/>
        <v>1744.1365569187494</v>
      </c>
      <c r="M70" s="65">
        <f t="shared" si="22"/>
        <v>1854.8892282830898</v>
      </c>
      <c r="N70" s="65">
        <f t="shared" si="22"/>
        <v>1972.6746942790658</v>
      </c>
    </row>
    <row r="71" spans="1:15" ht="16" x14ac:dyDescent="0.2">
      <c r="A71" s="79" t="s">
        <v>228</v>
      </c>
      <c r="B71" s="121">
        <v>6.3500000000000001E-2</v>
      </c>
      <c r="C71" s="98" t="s">
        <v>138</v>
      </c>
      <c r="D71" s="65">
        <f t="shared" si="15"/>
        <v>1357</v>
      </c>
      <c r="E71" s="65">
        <f t="shared" si="13"/>
        <v>1428</v>
      </c>
      <c r="F71" s="65">
        <f t="shared" si="13"/>
        <v>1509</v>
      </c>
      <c r="G71" s="65">
        <f t="shared" si="13"/>
        <v>1598</v>
      </c>
      <c r="H71" s="65">
        <f t="shared" si="13"/>
        <v>1690</v>
      </c>
      <c r="I71" s="65">
        <f>P46</f>
        <v>1698</v>
      </c>
      <c r="J71" s="65">
        <f t="shared" ref="J71:N71" si="23">Q46</f>
        <v>0</v>
      </c>
      <c r="K71" s="65">
        <f t="shared" si="23"/>
        <v>0</v>
      </c>
      <c r="L71" s="65">
        <f t="shared" si="23"/>
        <v>0</v>
      </c>
      <c r="M71" s="65">
        <f t="shared" si="23"/>
        <v>0</v>
      </c>
      <c r="N71" s="65">
        <f t="shared" si="23"/>
        <v>0</v>
      </c>
    </row>
    <row r="72" spans="1:15" ht="17" thickBot="1" x14ac:dyDescent="0.25">
      <c r="A72" s="78" t="s">
        <v>146</v>
      </c>
      <c r="B72" s="99"/>
      <c r="C72" s="100"/>
      <c r="D72" s="81">
        <f t="shared" ref="D72:N72" si="24">D67+D68+D70-D71-D69</f>
        <v>28172</v>
      </c>
      <c r="E72" s="81">
        <f t="shared" si="24"/>
        <v>26745</v>
      </c>
      <c r="F72" s="81">
        <f t="shared" si="24"/>
        <v>24647</v>
      </c>
      <c r="G72" s="81">
        <f t="shared" si="24"/>
        <v>16310</v>
      </c>
      <c r="H72" s="81">
        <f t="shared" si="24"/>
        <v>18362</v>
      </c>
      <c r="I72" s="81">
        <f t="shared" si="24"/>
        <v>14716</v>
      </c>
      <c r="J72" s="81">
        <f t="shared" si="24"/>
        <v>14342.143685314688</v>
      </c>
      <c r="K72" s="81">
        <f t="shared" si="24"/>
        <v>11973.737473667847</v>
      </c>
      <c r="L72" s="81">
        <f t="shared" si="24"/>
        <v>9286.6507061828306</v>
      </c>
      <c r="M72" s="81">
        <f t="shared" si="24"/>
        <v>6257.2814323359489</v>
      </c>
      <c r="N72" s="81">
        <f t="shared" si="24"/>
        <v>2860.4616630406672</v>
      </c>
    </row>
    <row r="73" spans="1:15" ht="16" x14ac:dyDescent="0.2">
      <c r="A73" s="78"/>
      <c r="B73" s="78"/>
      <c r="C73" s="78"/>
      <c r="N73" s="101"/>
    </row>
    <row r="74" spans="1:15" ht="16" x14ac:dyDescent="0.2">
      <c r="A74" s="122" t="s">
        <v>243</v>
      </c>
      <c r="B74" s="78"/>
      <c r="C74" s="78"/>
    </row>
    <row r="75" spans="1:15" ht="16" x14ac:dyDescent="0.2">
      <c r="A75" s="78"/>
      <c r="B75" s="78"/>
      <c r="C75" s="78"/>
    </row>
    <row r="76" spans="1:15" ht="16" x14ac:dyDescent="0.2">
      <c r="A76" s="78" t="s">
        <v>238</v>
      </c>
      <c r="B76" s="78"/>
      <c r="C76" s="78"/>
      <c r="D76" s="65">
        <f>D67-D69+D68</f>
        <v>28041</v>
      </c>
      <c r="E76" s="65">
        <f t="shared" ref="E76:H76" si="25">E67-E69+E68</f>
        <v>26698</v>
      </c>
      <c r="F76" s="65">
        <f t="shared" si="25"/>
        <v>24677</v>
      </c>
      <c r="G76" s="65">
        <f t="shared" si="25"/>
        <v>16428</v>
      </c>
      <c r="H76" s="65">
        <f t="shared" si="25"/>
        <v>18581</v>
      </c>
      <c r="I76" s="65">
        <f>I67-I69+I68</f>
        <v>14964</v>
      </c>
      <c r="J76" s="65">
        <f>(J67-J69+J68)*J33</f>
        <v>12800.068685314691</v>
      </c>
      <c r="K76" s="65">
        <f>(K67-K69+K68)*K33</f>
        <v>10333.740711167848</v>
      </c>
      <c r="L76" s="65">
        <f>(L67-L69+L68)*L33</f>
        <v>7542.5141492640832</v>
      </c>
      <c r="M76" s="65">
        <f>(M67-M69+M68)*M33</f>
        <v>4402.392204052856</v>
      </c>
      <c r="N76" s="65">
        <f>(N67-N69+N68)*N33</f>
        <v>887.78696876160393</v>
      </c>
    </row>
    <row r="77" spans="1:15" ht="16" x14ac:dyDescent="0.2">
      <c r="A77" s="78" t="s">
        <v>239</v>
      </c>
      <c r="D77" s="134">
        <f>D76</f>
        <v>28041</v>
      </c>
      <c r="E77" s="134">
        <f>E76</f>
        <v>26698</v>
      </c>
      <c r="F77" s="134">
        <f>F76</f>
        <v>24677</v>
      </c>
      <c r="G77" s="134">
        <f>G76</f>
        <v>16428</v>
      </c>
      <c r="H77" s="134">
        <f>H76</f>
        <v>18581</v>
      </c>
      <c r="I77" s="135">
        <v>14586</v>
      </c>
      <c r="J77" s="134">
        <v>11867</v>
      </c>
      <c r="K77" s="134">
        <v>8694</v>
      </c>
      <c r="L77" s="134">
        <v>5268</v>
      </c>
      <c r="M77" s="134">
        <v>1094</v>
      </c>
      <c r="N77" s="134">
        <v>-3487</v>
      </c>
    </row>
    <row r="78" spans="1:15" ht="16" x14ac:dyDescent="0.2">
      <c r="A78" s="78" t="s">
        <v>246</v>
      </c>
      <c r="I78" s="54">
        <v>14716</v>
      </c>
      <c r="J78" s="54">
        <v>12287</v>
      </c>
      <c r="K78" s="54">
        <v>9486</v>
      </c>
      <c r="L78" s="54">
        <v>6482</v>
      </c>
      <c r="M78" s="54">
        <v>2873</v>
      </c>
      <c r="N78" s="49">
        <v>441</v>
      </c>
      <c r="O78" s="49">
        <v>-2638</v>
      </c>
    </row>
  </sheetData>
  <hyperlinks>
    <hyperlink ref="A34" r:id="rId1" xr:uid="{019AC610-F045-8C48-8F60-31C1776F295F}"/>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85071-EA44-4775-A468-8CE521F89D75}">
  <sheetPr codeName="Feuil13"/>
  <dimension ref="A1:R32"/>
  <sheetViews>
    <sheetView workbookViewId="0">
      <selection activeCell="A30" sqref="A30"/>
    </sheetView>
  </sheetViews>
  <sheetFormatPr baseColWidth="10" defaultRowHeight="16" x14ac:dyDescent="0.2"/>
  <cols>
    <col min="1" max="1" width="46" customWidth="1"/>
    <col min="2" max="2" width="11.6640625" customWidth="1"/>
    <col min="7" max="8" width="17.83203125" customWidth="1"/>
    <col min="11" max="11" width="47.1640625" customWidth="1"/>
    <col min="12" max="12" width="12.5" customWidth="1"/>
    <col min="17" max="17" width="17.6640625" customWidth="1"/>
    <col min="18" max="18" width="18.33203125" customWidth="1"/>
  </cols>
  <sheetData>
    <row r="1" spans="1:18" x14ac:dyDescent="0.2">
      <c r="B1">
        <v>2020</v>
      </c>
      <c r="C1">
        <v>2019</v>
      </c>
      <c r="D1">
        <v>2018</v>
      </c>
      <c r="G1" t="s">
        <v>199</v>
      </c>
      <c r="H1" t="s">
        <v>198</v>
      </c>
      <c r="L1">
        <v>2020</v>
      </c>
      <c r="M1">
        <v>2019</v>
      </c>
      <c r="N1">
        <v>2018</v>
      </c>
      <c r="Q1" t="s">
        <v>199</v>
      </c>
      <c r="R1" t="s">
        <v>198</v>
      </c>
    </row>
    <row r="2" spans="1:18" x14ac:dyDescent="0.2">
      <c r="K2" s="37" t="s">
        <v>183</v>
      </c>
      <c r="L2" s="37">
        <v>200963</v>
      </c>
      <c r="M2" s="37">
        <v>195188</v>
      </c>
      <c r="N2" s="37">
        <v>201949</v>
      </c>
      <c r="O2" s="37"/>
      <c r="Q2">
        <f>L2-M2</f>
        <v>5775</v>
      </c>
      <c r="R2">
        <f>M2-N2</f>
        <v>-6761</v>
      </c>
    </row>
    <row r="3" spans="1:18" ht="34" x14ac:dyDescent="0.2">
      <c r="A3" t="s">
        <v>160</v>
      </c>
      <c r="K3" s="1" t="s">
        <v>188</v>
      </c>
      <c r="L3" s="1"/>
      <c r="M3">
        <v>210</v>
      </c>
      <c r="N3">
        <v>218</v>
      </c>
      <c r="Q3">
        <f t="shared" ref="Q3:Q9" si="0">L3-M3</f>
        <v>-210</v>
      </c>
      <c r="R3">
        <f t="shared" ref="R3:R9" si="1">M3-N3</f>
        <v>-8</v>
      </c>
    </row>
    <row r="4" spans="1:18" ht="17" x14ac:dyDescent="0.2">
      <c r="A4" t="s">
        <v>161</v>
      </c>
      <c r="B4">
        <v>3064</v>
      </c>
      <c r="C4">
        <v>2568</v>
      </c>
      <c r="D4">
        <v>1952</v>
      </c>
      <c r="G4">
        <f>B4-C4</f>
        <v>496</v>
      </c>
      <c r="H4">
        <f>C4-D4</f>
        <v>616</v>
      </c>
      <c r="K4" s="4" t="s">
        <v>197</v>
      </c>
      <c r="L4" s="4">
        <f>L2-L3</f>
        <v>200963</v>
      </c>
      <c r="M4" s="4">
        <f>M2-M3</f>
        <v>194978</v>
      </c>
      <c r="N4" s="4">
        <f t="shared" ref="N4" si="2">N2-N3</f>
        <v>201731</v>
      </c>
      <c r="O4" s="4"/>
      <c r="Q4">
        <f t="shared" si="0"/>
        <v>5985</v>
      </c>
      <c r="R4">
        <f t="shared" si="1"/>
        <v>-6753</v>
      </c>
    </row>
    <row r="5" spans="1:18" x14ac:dyDescent="0.2">
      <c r="A5" t="s">
        <v>162</v>
      </c>
      <c r="B5">
        <f>10126+1813</f>
        <v>11939</v>
      </c>
      <c r="C5">
        <v>9599</v>
      </c>
      <c r="D5">
        <v>11355</v>
      </c>
      <c r="G5">
        <f t="shared" ref="G5:G15" si="3">B5-C5</f>
        <v>2340</v>
      </c>
      <c r="H5">
        <f t="shared" ref="H5:H15" si="4">C5-D5</f>
        <v>-1756</v>
      </c>
      <c r="K5" s="38" t="s">
        <v>184</v>
      </c>
      <c r="L5" s="38">
        <f>B22</f>
        <v>14716</v>
      </c>
      <c r="M5" s="38">
        <f>C22</f>
        <v>18362</v>
      </c>
      <c r="N5" s="38">
        <f>D22</f>
        <v>21903</v>
      </c>
      <c r="O5" s="38"/>
      <c r="Q5">
        <f t="shared" si="0"/>
        <v>-3646</v>
      </c>
      <c r="R5">
        <f t="shared" si="1"/>
        <v>-3541</v>
      </c>
    </row>
    <row r="6" spans="1:18" x14ac:dyDescent="0.2">
      <c r="A6" t="s">
        <v>163</v>
      </c>
      <c r="B6">
        <v>19047</v>
      </c>
      <c r="C6">
        <v>18753</v>
      </c>
      <c r="D6">
        <v>18340</v>
      </c>
      <c r="G6">
        <f t="shared" si="3"/>
        <v>294</v>
      </c>
      <c r="H6">
        <f t="shared" si="4"/>
        <v>413</v>
      </c>
      <c r="K6" t="s">
        <v>185</v>
      </c>
      <c r="L6">
        <f>B12</f>
        <v>8899</v>
      </c>
      <c r="M6">
        <f>C12</f>
        <v>8293</v>
      </c>
      <c r="N6">
        <f>D12</f>
        <v>12816</v>
      </c>
      <c r="Q6">
        <f t="shared" si="0"/>
        <v>606</v>
      </c>
      <c r="R6">
        <f t="shared" si="1"/>
        <v>-4523</v>
      </c>
    </row>
    <row r="7" spans="1:18" ht="34" x14ac:dyDescent="0.2">
      <c r="A7" t="s">
        <v>164</v>
      </c>
      <c r="B7">
        <v>46</v>
      </c>
      <c r="C7">
        <v>52</v>
      </c>
      <c r="D7">
        <v>52</v>
      </c>
      <c r="G7">
        <f t="shared" si="3"/>
        <v>-6</v>
      </c>
      <c r="H7">
        <f t="shared" si="4"/>
        <v>0</v>
      </c>
      <c r="K7" s="4" t="s">
        <v>186</v>
      </c>
      <c r="L7" s="4">
        <v>206780</v>
      </c>
      <c r="M7" s="37">
        <v>205047</v>
      </c>
      <c r="N7" s="37">
        <v>210818</v>
      </c>
      <c r="O7" s="37"/>
      <c r="Q7">
        <f t="shared" si="0"/>
        <v>1733</v>
      </c>
      <c r="R7">
        <f t="shared" si="1"/>
        <v>-5771</v>
      </c>
    </row>
    <row r="8" spans="1:18" ht="17" x14ac:dyDescent="0.2">
      <c r="A8" t="s">
        <v>165</v>
      </c>
      <c r="B8">
        <v>5416</v>
      </c>
      <c r="C8">
        <v>5366</v>
      </c>
      <c r="D8">
        <v>5358</v>
      </c>
      <c r="G8">
        <f t="shared" si="3"/>
        <v>50</v>
      </c>
      <c r="H8">
        <f t="shared" si="4"/>
        <v>8</v>
      </c>
      <c r="K8" s="1" t="s">
        <v>187</v>
      </c>
      <c r="L8" s="1">
        <v>7988</v>
      </c>
      <c r="M8">
        <v>5949</v>
      </c>
      <c r="N8">
        <v>9747</v>
      </c>
      <c r="Q8">
        <f t="shared" si="0"/>
        <v>2039</v>
      </c>
      <c r="R8">
        <f t="shared" si="1"/>
        <v>-3798</v>
      </c>
    </row>
    <row r="9" spans="1:18" ht="17" x14ac:dyDescent="0.2">
      <c r="A9" t="s">
        <v>166</v>
      </c>
      <c r="B9">
        <v>27974</v>
      </c>
      <c r="C9">
        <v>25500</v>
      </c>
      <c r="D9">
        <v>26188</v>
      </c>
      <c r="G9">
        <f t="shared" si="3"/>
        <v>2474</v>
      </c>
      <c r="H9">
        <f t="shared" si="4"/>
        <v>-688</v>
      </c>
      <c r="K9" s="4" t="s">
        <v>182</v>
      </c>
      <c r="L9" s="4">
        <v>198792</v>
      </c>
      <c r="M9" s="37">
        <v>199098</v>
      </c>
      <c r="N9" s="37">
        <v>201071</v>
      </c>
      <c r="O9" s="37"/>
      <c r="Q9">
        <f t="shared" si="0"/>
        <v>-306</v>
      </c>
      <c r="R9">
        <f t="shared" si="1"/>
        <v>-1973</v>
      </c>
    </row>
    <row r="10" spans="1:18" x14ac:dyDescent="0.2">
      <c r="A10" t="s">
        <v>167</v>
      </c>
      <c r="B10">
        <v>28</v>
      </c>
      <c r="C10">
        <v>49</v>
      </c>
      <c r="D10">
        <v>35</v>
      </c>
      <c r="G10">
        <f t="shared" si="3"/>
        <v>-21</v>
      </c>
      <c r="H10">
        <f t="shared" si="4"/>
        <v>14</v>
      </c>
      <c r="K10" s="1"/>
      <c r="L10" s="1"/>
    </row>
    <row r="11" spans="1:18" x14ac:dyDescent="0.2">
      <c r="A11" t="s">
        <v>168</v>
      </c>
      <c r="B11">
        <v>10857</v>
      </c>
      <c r="C11">
        <v>10880</v>
      </c>
      <c r="D11">
        <v>10403</v>
      </c>
      <c r="G11">
        <f t="shared" si="3"/>
        <v>-23</v>
      </c>
      <c r="H11">
        <f t="shared" si="4"/>
        <v>477</v>
      </c>
      <c r="K11" s="1"/>
      <c r="L11" s="1"/>
    </row>
    <row r="12" spans="1:18" x14ac:dyDescent="0.2">
      <c r="A12" t="s">
        <v>169</v>
      </c>
      <c r="B12">
        <v>8899</v>
      </c>
      <c r="C12">
        <v>8293</v>
      </c>
      <c r="D12">
        <v>12816</v>
      </c>
      <c r="G12">
        <f t="shared" si="3"/>
        <v>606</v>
      </c>
      <c r="H12">
        <f t="shared" si="4"/>
        <v>-4523</v>
      </c>
      <c r="K12" s="1"/>
      <c r="L12" s="1"/>
    </row>
    <row r="13" spans="1:18" x14ac:dyDescent="0.2">
      <c r="A13" t="s">
        <v>193</v>
      </c>
      <c r="G13">
        <f t="shared" si="3"/>
        <v>0</v>
      </c>
      <c r="H13">
        <f t="shared" si="4"/>
        <v>0</v>
      </c>
      <c r="K13" s="1"/>
      <c r="L13" s="1"/>
    </row>
    <row r="14" spans="1:18" x14ac:dyDescent="0.2">
      <c r="A14" t="s">
        <v>170</v>
      </c>
      <c r="B14">
        <v>734</v>
      </c>
      <c r="C14">
        <v>583</v>
      </c>
      <c r="D14">
        <v>763</v>
      </c>
      <c r="G14">
        <f t="shared" si="3"/>
        <v>151</v>
      </c>
      <c r="H14">
        <f t="shared" si="4"/>
        <v>-180</v>
      </c>
      <c r="K14" s="1"/>
      <c r="L14" s="1">
        <v>2020</v>
      </c>
      <c r="M14">
        <v>2019</v>
      </c>
      <c r="N14">
        <v>2018</v>
      </c>
    </row>
    <row r="15" spans="1:18" ht="17" x14ac:dyDescent="0.2">
      <c r="A15" s="37" t="s">
        <v>180</v>
      </c>
      <c r="B15" s="37">
        <f>SUM(B4:B14)</f>
        <v>88004</v>
      </c>
      <c r="C15" s="37">
        <v>81643</v>
      </c>
      <c r="D15" s="37">
        <v>87262</v>
      </c>
      <c r="E15" s="37"/>
      <c r="G15">
        <f t="shared" si="3"/>
        <v>6361</v>
      </c>
      <c r="H15">
        <f t="shared" si="4"/>
        <v>-5619</v>
      </c>
      <c r="K15" s="1" t="s">
        <v>189</v>
      </c>
      <c r="L15" s="1">
        <f>SUM(B4:B11,B13,B14)</f>
        <v>79105</v>
      </c>
      <c r="M15" s="1">
        <f>SUM(C4:C11,C13,C14)</f>
        <v>73350</v>
      </c>
      <c r="N15" s="1">
        <f>SUM(D4:D11,D13,D14)</f>
        <v>74446</v>
      </c>
      <c r="O15" s="1"/>
    </row>
    <row r="16" spans="1:18" ht="17" x14ac:dyDescent="0.2">
      <c r="K16" s="1" t="s">
        <v>190</v>
      </c>
      <c r="L16" s="1">
        <f>SUM(B18:B21,B24)</f>
        <v>43638</v>
      </c>
      <c r="M16" s="1">
        <f>SUM(C18:C21,C24)</f>
        <v>40651</v>
      </c>
      <c r="N16" s="1">
        <f>SUM(D18:D21,D24)</f>
        <v>39953</v>
      </c>
      <c r="O16" s="1"/>
    </row>
    <row r="17" spans="1:14" x14ac:dyDescent="0.2">
      <c r="A17" t="s">
        <v>171</v>
      </c>
      <c r="K17" t="s">
        <v>191</v>
      </c>
      <c r="L17">
        <f>SUM(B29:B30)</f>
        <v>1054</v>
      </c>
      <c r="M17">
        <f>SUM(C29:C30)</f>
        <v>794</v>
      </c>
      <c r="N17">
        <f>SUM(D29:D30)</f>
        <v>759</v>
      </c>
    </row>
    <row r="18" spans="1:14" x14ac:dyDescent="0.2">
      <c r="A18" t="s">
        <v>172</v>
      </c>
      <c r="B18">
        <v>31829</v>
      </c>
      <c r="C18">
        <v>29699</v>
      </c>
      <c r="D18">
        <v>28949</v>
      </c>
      <c r="G18">
        <f>B18-C18</f>
        <v>2130</v>
      </c>
      <c r="H18">
        <f>C18-D18</f>
        <v>750</v>
      </c>
      <c r="K18" t="s">
        <v>192</v>
      </c>
      <c r="L18">
        <f>L3+L8</f>
        <v>7988</v>
      </c>
      <c r="M18">
        <f>M3+M8</f>
        <v>6159</v>
      </c>
      <c r="N18">
        <f>N3+N8</f>
        <v>9965</v>
      </c>
    </row>
    <row r="19" spans="1:14" x14ac:dyDescent="0.2">
      <c r="A19" t="s">
        <v>173</v>
      </c>
      <c r="B19">
        <v>7605</v>
      </c>
      <c r="C19">
        <v>6719</v>
      </c>
      <c r="D19">
        <v>6514</v>
      </c>
      <c r="G19">
        <f t="shared" ref="G19:G25" si="5">B19-C19</f>
        <v>886</v>
      </c>
      <c r="H19">
        <f t="shared" ref="H19:H25" si="6">C19-D19</f>
        <v>205</v>
      </c>
      <c r="K19" t="s">
        <v>119</v>
      </c>
      <c r="L19">
        <f>L15-L16+L17-L18</f>
        <v>28533</v>
      </c>
      <c r="M19">
        <f>M15-M16+M17-M18</f>
        <v>27334</v>
      </c>
      <c r="N19">
        <f>N15-N16+N17-N18</f>
        <v>25287</v>
      </c>
    </row>
    <row r="20" spans="1:14" x14ac:dyDescent="0.2">
      <c r="A20" t="s">
        <v>194</v>
      </c>
      <c r="G20">
        <f t="shared" si="5"/>
        <v>0</v>
      </c>
      <c r="H20">
        <f t="shared" si="6"/>
        <v>0</v>
      </c>
      <c r="K20" t="s">
        <v>119</v>
      </c>
      <c r="L20">
        <f>L15-L16-L18</f>
        <v>27479</v>
      </c>
      <c r="M20">
        <f>M15-M16-M18</f>
        <v>26540</v>
      </c>
      <c r="N20">
        <f>N15-N16-N18</f>
        <v>24528</v>
      </c>
    </row>
    <row r="21" spans="1:14" x14ac:dyDescent="0.2">
      <c r="A21" t="s">
        <v>174</v>
      </c>
      <c r="B21">
        <f>1045+2988</f>
        <v>4033</v>
      </c>
      <c r="C21">
        <v>4039</v>
      </c>
      <c r="D21">
        <v>4233</v>
      </c>
      <c r="G21">
        <f t="shared" si="5"/>
        <v>-6</v>
      </c>
      <c r="H21">
        <f t="shared" si="6"/>
        <v>-194</v>
      </c>
    </row>
    <row r="22" spans="1:14" x14ac:dyDescent="0.2">
      <c r="A22" t="s">
        <v>107</v>
      </c>
      <c r="B22">
        <v>14716</v>
      </c>
      <c r="C22">
        <v>18362</v>
      </c>
      <c r="D22">
        <v>21903</v>
      </c>
      <c r="G22">
        <f t="shared" si="5"/>
        <v>-3646</v>
      </c>
      <c r="H22">
        <f t="shared" si="6"/>
        <v>-3541</v>
      </c>
    </row>
    <row r="23" spans="1:14" x14ac:dyDescent="0.2">
      <c r="A23" t="s">
        <v>175</v>
      </c>
      <c r="B23">
        <v>200963</v>
      </c>
      <c r="C23">
        <v>195188</v>
      </c>
      <c r="D23">
        <v>201949</v>
      </c>
      <c r="G23">
        <f t="shared" si="5"/>
        <v>5775</v>
      </c>
      <c r="H23">
        <f t="shared" si="6"/>
        <v>-6761</v>
      </c>
    </row>
    <row r="24" spans="1:14" x14ac:dyDescent="0.2">
      <c r="A24" t="s">
        <v>176</v>
      </c>
      <c r="B24">
        <v>171</v>
      </c>
      <c r="C24">
        <v>194</v>
      </c>
      <c r="D24">
        <v>257</v>
      </c>
      <c r="G24">
        <f t="shared" si="5"/>
        <v>-23</v>
      </c>
      <c r="H24">
        <f t="shared" si="6"/>
        <v>-63</v>
      </c>
      <c r="K24" t="s">
        <v>182</v>
      </c>
      <c r="L24">
        <f>L9</f>
        <v>198792</v>
      </c>
      <c r="M24">
        <f t="shared" ref="M24:N24" si="7">M9</f>
        <v>199098</v>
      </c>
      <c r="N24">
        <f t="shared" si="7"/>
        <v>201071</v>
      </c>
    </row>
    <row r="25" spans="1:14" ht="34" x14ac:dyDescent="0.2">
      <c r="A25" s="37" t="s">
        <v>181</v>
      </c>
      <c r="B25" s="37">
        <f>SUM(B18:B24)</f>
        <v>259317</v>
      </c>
      <c r="C25" s="37">
        <v>254201</v>
      </c>
      <c r="D25" s="37">
        <v>263805</v>
      </c>
      <c r="E25" s="37"/>
      <c r="G25">
        <f t="shared" si="5"/>
        <v>5116</v>
      </c>
      <c r="H25">
        <f t="shared" si="6"/>
        <v>-9604</v>
      </c>
      <c r="K25" s="1" t="s">
        <v>203</v>
      </c>
      <c r="L25">
        <f>L19-L17</f>
        <v>27479</v>
      </c>
      <c r="M25">
        <f t="shared" ref="M25:N25" si="8">M19-M17</f>
        <v>26540</v>
      </c>
      <c r="N25">
        <f t="shared" si="8"/>
        <v>24528</v>
      </c>
    </row>
    <row r="26" spans="1:14" x14ac:dyDescent="0.2">
      <c r="K26" t="s">
        <v>200</v>
      </c>
      <c r="L26">
        <f>L24-L25</f>
        <v>171313</v>
      </c>
      <c r="M26">
        <f t="shared" ref="M26:N26" si="9">M24-M25</f>
        <v>172558</v>
      </c>
      <c r="N26">
        <f t="shared" si="9"/>
        <v>176543</v>
      </c>
    </row>
    <row r="27" spans="1:14" x14ac:dyDescent="0.2">
      <c r="A27" t="s">
        <v>177</v>
      </c>
      <c r="K27" t="s">
        <v>201</v>
      </c>
      <c r="L27">
        <f>B28+L17</f>
        <v>76107</v>
      </c>
      <c r="M27">
        <f>C28+M17</f>
        <v>72110</v>
      </c>
      <c r="N27">
        <f>D28+N17</f>
        <v>69073</v>
      </c>
    </row>
    <row r="28" spans="1:14" x14ac:dyDescent="0.2">
      <c r="A28" t="s">
        <v>120</v>
      </c>
      <c r="B28">
        <v>75053</v>
      </c>
      <c r="C28">
        <v>71316</v>
      </c>
      <c r="D28">
        <v>68314</v>
      </c>
      <c r="G28">
        <f>B28-C28</f>
        <v>3737</v>
      </c>
      <c r="H28">
        <f>C28-D28</f>
        <v>3002</v>
      </c>
      <c r="K28" t="s">
        <v>202</v>
      </c>
      <c r="L28">
        <f>L26-L27</f>
        <v>95206</v>
      </c>
      <c r="M28">
        <f t="shared" ref="M28:N28" si="10">M26-M27</f>
        <v>100448</v>
      </c>
      <c r="N28">
        <f t="shared" si="10"/>
        <v>107470</v>
      </c>
    </row>
    <row r="29" spans="1:14" x14ac:dyDescent="0.2">
      <c r="A29" s="11" t="s">
        <v>178</v>
      </c>
      <c r="B29" s="11">
        <v>523</v>
      </c>
      <c r="C29" s="11">
        <v>485</v>
      </c>
      <c r="D29" s="11">
        <v>456</v>
      </c>
      <c r="G29">
        <f t="shared" ref="G29:G32" si="11">B29-C29</f>
        <v>38</v>
      </c>
      <c r="H29">
        <f t="shared" ref="H29:H32" si="12">C29-D29</f>
        <v>29</v>
      </c>
    </row>
    <row r="30" spans="1:14" ht="68" x14ac:dyDescent="0.2">
      <c r="A30" s="11" t="s">
        <v>179</v>
      </c>
      <c r="B30" s="11">
        <v>531</v>
      </c>
      <c r="C30" s="11">
        <v>309</v>
      </c>
      <c r="D30" s="11">
        <v>303</v>
      </c>
      <c r="G30">
        <f t="shared" si="11"/>
        <v>222</v>
      </c>
      <c r="H30">
        <f t="shared" si="12"/>
        <v>6</v>
      </c>
      <c r="K30" s="1" t="s">
        <v>205</v>
      </c>
    </row>
    <row r="31" spans="1:14" x14ac:dyDescent="0.2">
      <c r="A31" t="s">
        <v>195</v>
      </c>
      <c r="K31" t="s">
        <v>204</v>
      </c>
    </row>
    <row r="32" spans="1:14" x14ac:dyDescent="0.2">
      <c r="A32" s="37" t="s">
        <v>196</v>
      </c>
      <c r="B32" s="37">
        <f>SUM(B28:B31)</f>
        <v>76107</v>
      </c>
      <c r="C32" s="37">
        <f t="shared" ref="C32:D32" si="13">SUM(C28:C31)</f>
        <v>72110</v>
      </c>
      <c r="D32" s="37">
        <f t="shared" si="13"/>
        <v>69073</v>
      </c>
      <c r="E32" s="37"/>
      <c r="G32">
        <f t="shared" si="11"/>
        <v>3997</v>
      </c>
      <c r="H32">
        <f t="shared" si="12"/>
        <v>3037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18</vt:i4>
      </vt:variant>
    </vt:vector>
  </HeadingPairs>
  <TitlesOfParts>
    <vt:vector size="18" baseType="lpstr">
      <vt:lpstr>Consolidé</vt:lpstr>
      <vt:lpstr>COVID spending</vt:lpstr>
      <vt:lpstr>COVID spending (2)</vt:lpstr>
      <vt:lpstr>Inputs</vt:lpstr>
      <vt:lpstr>Returns</vt:lpstr>
      <vt:lpstr>debt_service</vt:lpstr>
      <vt:lpstr>debt_service_site_internet</vt:lpstr>
      <vt:lpstr>interest_debt</vt:lpstr>
      <vt:lpstr>gdp</vt:lpstr>
      <vt:lpstr>GenFundContrib</vt:lpstr>
      <vt:lpstr>pension_balance</vt:lpstr>
      <vt:lpstr>calculs_pension_balance</vt:lpstr>
      <vt:lpstr>investment</vt:lpstr>
      <vt:lpstr>pension_debt_service</vt:lpstr>
      <vt:lpstr>pension_hypo</vt:lpstr>
      <vt:lpstr>FARR_constant</vt:lpstr>
      <vt:lpstr>FARR_courant</vt:lpstr>
      <vt:lpstr>Actifs net hors dette, FDG, ret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pierre-carl michaud</dc:creator>
  <cp:lastModifiedBy>Microsoft Office User</cp:lastModifiedBy>
  <dcterms:created xsi:type="dcterms:W3CDTF">2020-04-21T11:58:00Z</dcterms:created>
  <dcterms:modified xsi:type="dcterms:W3CDTF">2022-04-04T18:52:51Z</dcterms:modified>
</cp:coreProperties>
</file>