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8"/>
  <workbookPr/>
  <mc:AlternateContent xmlns:mc="http://schemas.openxmlformats.org/markup-compatibility/2006">
    <mc:Choice Requires="x15">
      <x15ac:absPath xmlns:x15ac="http://schemas.microsoft.com/office/spreadsheetml/2010/11/ac" url="https://uccireland-my.sharepoint.com/personal/emma_jennings_ucc_ie/Documents/PhD Related/Systematic Review/"/>
    </mc:Choice>
  </mc:AlternateContent>
  <xr:revisionPtr revIDLastSave="0" documentId="8_{73808AA4-C413-405E-A24E-A484945BFD55}" xr6:coauthVersionLast="43" xr6:coauthVersionMax="43" xr10:uidLastSave="{00000000-0000-0000-0000-000000000000}"/>
  <bookViews>
    <workbookView xWindow="0" yWindow="0" windowWidth="19200" windowHeight="7050" firstSheet="9" activeTab="9" xr2:uid="{00000000-000D-0000-FFFF-FFFF00000000}"/>
  </bookViews>
  <sheets>
    <sheet name="Incl. " sheetId="1" r:id="rId1"/>
    <sheet name="ADR proportions" sheetId="3" r:id="rId2"/>
    <sheet name="Characteristics" sheetId="2" r:id="rId3"/>
    <sheet name="Methods" sheetId="4" r:id="rId4"/>
    <sheet name="Causality" sheetId="5" r:id="rId5"/>
    <sheet name="Classification" sheetId="6" r:id="rId6"/>
    <sheet name="Preventability" sheetId="7" r:id="rId7"/>
    <sheet name="Severity" sheetId="8" r:id="rId8"/>
    <sheet name="Drugs" sheetId="9" r:id="rId9"/>
    <sheet name="Outcome" sheetId="10" r:id="rId10"/>
  </sheets>
  <definedNames>
    <definedName name="_xlnm.Print_Area" localSheetId="0">'Incl. '!$A$1:$C$28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2" l="1"/>
  <c r="G27" i="3"/>
  <c r="F27" i="3"/>
  <c r="J27" i="3" s="1"/>
  <c r="E27" i="3"/>
  <c r="H26" i="3"/>
  <c r="E26" i="3"/>
  <c r="H27" i="3" l="1"/>
  <c r="P27" i="2"/>
  <c r="M27" i="2"/>
  <c r="L27" i="2"/>
  <c r="J25" i="3"/>
  <c r="H25" i="3"/>
  <c r="E25" i="3"/>
  <c r="M25" i="2"/>
  <c r="L25" i="2"/>
  <c r="P264" i="9" l="1"/>
  <c r="O264" i="9"/>
  <c r="N264" i="9"/>
  <c r="M264" i="9"/>
  <c r="L264" i="9"/>
  <c r="K264" i="9"/>
  <c r="H264" i="9"/>
  <c r="F264" i="9"/>
  <c r="D264" i="9"/>
  <c r="C264" i="9"/>
  <c r="R263" i="9"/>
  <c r="R262" i="9"/>
  <c r="R261" i="9"/>
  <c r="R260" i="9"/>
  <c r="R259" i="9"/>
  <c r="R258" i="9"/>
  <c r="R257" i="9"/>
  <c r="R256" i="9"/>
  <c r="R255" i="9"/>
  <c r="R254" i="9"/>
  <c r="G253" i="9"/>
  <c r="R253" i="9" s="1"/>
  <c r="R252" i="9"/>
  <c r="R251" i="9"/>
  <c r="R250" i="9"/>
  <c r="R249" i="9"/>
  <c r="R248" i="9"/>
  <c r="R247" i="9"/>
  <c r="R246" i="9"/>
  <c r="R245" i="9"/>
  <c r="R244" i="9"/>
  <c r="G243" i="9"/>
  <c r="R243" i="9" s="1"/>
  <c r="R242" i="9"/>
  <c r="R241" i="9"/>
  <c r="R240" i="9"/>
  <c r="R239" i="9"/>
  <c r="R238" i="9"/>
  <c r="R236" i="9"/>
  <c r="R235" i="9"/>
  <c r="R234" i="9"/>
  <c r="R233" i="9"/>
  <c r="R232" i="9"/>
  <c r="R231" i="9"/>
  <c r="R230" i="9"/>
  <c r="R229" i="9"/>
  <c r="R228" i="9"/>
  <c r="G227" i="9"/>
  <c r="R227" i="9" s="1"/>
  <c r="R226" i="9"/>
  <c r="R225" i="9"/>
  <c r="R224" i="9"/>
  <c r="R223" i="9"/>
  <c r="R222" i="9"/>
  <c r="R221" i="9"/>
  <c r="R220" i="9"/>
  <c r="R219" i="9"/>
  <c r="R218" i="9"/>
  <c r="R217" i="9"/>
  <c r="R216" i="9"/>
  <c r="R215" i="9"/>
  <c r="R214" i="9"/>
  <c r="R213" i="9"/>
  <c r="R212" i="9"/>
  <c r="R211" i="9"/>
  <c r="R210" i="9"/>
  <c r="R209" i="9"/>
  <c r="R208" i="9"/>
  <c r="R207" i="9"/>
  <c r="R206" i="9"/>
  <c r="E205" i="9"/>
  <c r="R205" i="9" s="1"/>
  <c r="R203" i="9"/>
  <c r="R202" i="9"/>
  <c r="R200" i="9"/>
  <c r="R199" i="9"/>
  <c r="R198" i="9"/>
  <c r="R197" i="9"/>
  <c r="R196" i="9"/>
  <c r="G195" i="9"/>
  <c r="R195" i="9" s="1"/>
  <c r="R194" i="9"/>
  <c r="R193" i="9"/>
  <c r="E192" i="9"/>
  <c r="R192" i="9" s="1"/>
  <c r="R191" i="9"/>
  <c r="E190" i="9"/>
  <c r="R190" i="9" s="1"/>
  <c r="R189" i="9"/>
  <c r="R188" i="9"/>
  <c r="R187" i="9"/>
  <c r="R186" i="9"/>
  <c r="R185" i="9"/>
  <c r="R184" i="9"/>
  <c r="R183" i="9"/>
  <c r="R182" i="9"/>
  <c r="R181" i="9"/>
  <c r="R180" i="9"/>
  <c r="R179" i="9"/>
  <c r="G178" i="9"/>
  <c r="R178" i="9" s="1"/>
  <c r="R177" i="9"/>
  <c r="R175" i="9"/>
  <c r="J174" i="9"/>
  <c r="R174" i="9" s="1"/>
  <c r="R173" i="9"/>
  <c r="R172" i="9"/>
  <c r="R171" i="9"/>
  <c r="R170" i="9"/>
  <c r="I169" i="9"/>
  <c r="R169" i="9" s="1"/>
  <c r="R167" i="9"/>
  <c r="R166" i="9"/>
  <c r="R165" i="9"/>
  <c r="R164" i="9"/>
  <c r="R163" i="9"/>
  <c r="R162" i="9"/>
  <c r="R161" i="9"/>
  <c r="R160" i="9"/>
  <c r="R159" i="9"/>
  <c r="R158" i="9"/>
  <c r="R157" i="9"/>
  <c r="R156" i="9"/>
  <c r="R155" i="9"/>
  <c r="R154" i="9"/>
  <c r="R153" i="9"/>
  <c r="R152" i="9"/>
  <c r="R151" i="9"/>
  <c r="R150" i="9"/>
  <c r="R149" i="9"/>
  <c r="R148" i="9"/>
  <c r="R147" i="9"/>
  <c r="R146" i="9"/>
  <c r="R145" i="9"/>
  <c r="G144" i="9"/>
  <c r="R144" i="9" s="1"/>
  <c r="R143" i="9"/>
  <c r="R142" i="9"/>
  <c r="R141" i="9"/>
  <c r="R140" i="9"/>
  <c r="R139" i="9"/>
  <c r="R137" i="9"/>
  <c r="G136" i="9"/>
  <c r="R136" i="9" s="1"/>
  <c r="R135" i="9"/>
  <c r="R134" i="9"/>
  <c r="R133" i="9"/>
  <c r="R132" i="9"/>
  <c r="R131" i="9"/>
  <c r="R130" i="9"/>
  <c r="R129" i="9"/>
  <c r="R128" i="9"/>
  <c r="R127" i="9"/>
  <c r="R126" i="9"/>
  <c r="R124" i="9"/>
  <c r="R123" i="9"/>
  <c r="R122" i="9"/>
  <c r="R121" i="9"/>
  <c r="I120" i="9"/>
  <c r="R119" i="9"/>
  <c r="R118" i="9"/>
  <c r="R117" i="9"/>
  <c r="R116" i="9"/>
  <c r="R115" i="9"/>
  <c r="R114" i="9"/>
  <c r="G113" i="9"/>
  <c r="R113" i="9" s="1"/>
  <c r="R112" i="9"/>
  <c r="R111" i="9"/>
  <c r="G110" i="9"/>
  <c r="R110" i="9" s="1"/>
  <c r="R109" i="9"/>
  <c r="R108" i="9"/>
  <c r="R107" i="9"/>
  <c r="R106" i="9"/>
  <c r="R105" i="9"/>
  <c r="R104" i="9"/>
  <c r="E103" i="9"/>
  <c r="R103" i="9" s="1"/>
  <c r="R102" i="9"/>
  <c r="J101" i="9"/>
  <c r="R100" i="9"/>
  <c r="G99" i="9"/>
  <c r="G264" i="9" s="1"/>
  <c r="R98" i="9"/>
  <c r="R97" i="9"/>
  <c r="R96" i="9"/>
  <c r="R95" i="9"/>
  <c r="R94" i="9"/>
  <c r="R93" i="9"/>
  <c r="E92" i="9"/>
  <c r="R92" i="9" s="1"/>
  <c r="R91" i="9"/>
  <c r="R90" i="9"/>
  <c r="R89" i="9"/>
  <c r="R88" i="9"/>
  <c r="R86" i="9"/>
  <c r="R85" i="9"/>
  <c r="R84" i="9"/>
  <c r="R83" i="9"/>
  <c r="R82" i="9"/>
  <c r="R81" i="9"/>
  <c r="R80" i="9"/>
  <c r="R79" i="9"/>
  <c r="R78" i="9"/>
  <c r="R77" i="9"/>
  <c r="R76" i="9"/>
  <c r="R75" i="9"/>
  <c r="R74" i="9"/>
  <c r="R73" i="9"/>
  <c r="R72" i="9"/>
  <c r="R71" i="9"/>
  <c r="R70" i="9"/>
  <c r="R69" i="9"/>
  <c r="R68" i="9"/>
  <c r="R67" i="9"/>
  <c r="R66" i="9"/>
  <c r="R65" i="9"/>
  <c r="R64" i="9"/>
  <c r="R63" i="9"/>
  <c r="R62" i="9"/>
  <c r="R61" i="9"/>
  <c r="Q60" i="9"/>
  <c r="Q264" i="9" s="1"/>
  <c r="E59" i="9"/>
  <c r="R59" i="9" s="1"/>
  <c r="R58" i="9"/>
  <c r="R57" i="9"/>
  <c r="R56" i="9"/>
  <c r="R55" i="9"/>
  <c r="R54" i="9"/>
  <c r="R53" i="9"/>
  <c r="R52" i="9"/>
  <c r="R51" i="9"/>
  <c r="R50" i="9"/>
  <c r="R49" i="9"/>
  <c r="R48" i="9"/>
  <c r="R47" i="9"/>
  <c r="R46" i="9"/>
  <c r="R45" i="9"/>
  <c r="R44" i="9"/>
  <c r="R43" i="9"/>
  <c r="R42" i="9"/>
  <c r="R41" i="9"/>
  <c r="E40" i="9"/>
  <c r="R40" i="9" s="1"/>
  <c r="R39" i="9"/>
  <c r="E38" i="9"/>
  <c r="R38" i="9" s="1"/>
  <c r="R37" i="9"/>
  <c r="R36" i="9"/>
  <c r="R35" i="9"/>
  <c r="R34" i="9"/>
  <c r="R33" i="9"/>
  <c r="R32" i="9"/>
  <c r="R31" i="9"/>
  <c r="R30" i="9"/>
  <c r="R29" i="9"/>
  <c r="R28" i="9"/>
  <c r="R27" i="9"/>
  <c r="R26" i="9"/>
  <c r="E25" i="9"/>
  <c r="R25" i="9" s="1"/>
  <c r="R24" i="9"/>
  <c r="E23" i="9"/>
  <c r="R23" i="9" s="1"/>
  <c r="E22" i="9"/>
  <c r="E264" i="9" s="1"/>
  <c r="R20" i="9"/>
  <c r="R19" i="9"/>
  <c r="R18" i="9"/>
  <c r="R17" i="9"/>
  <c r="R16" i="9"/>
  <c r="R15" i="9"/>
  <c r="R14" i="9"/>
  <c r="R13" i="9"/>
  <c r="R12" i="9"/>
  <c r="R11" i="9"/>
  <c r="R9" i="9"/>
  <c r="R8" i="9"/>
  <c r="R7" i="9"/>
  <c r="R6" i="9"/>
  <c r="R5" i="9"/>
  <c r="R4" i="9"/>
  <c r="O16" i="8"/>
  <c r="O15" i="8"/>
  <c r="G12" i="8"/>
  <c r="O11" i="8"/>
  <c r="O10" i="8"/>
  <c r="O9" i="8"/>
  <c r="O8" i="8"/>
  <c r="O7" i="8"/>
  <c r="O6" i="8"/>
  <c r="G5" i="8"/>
  <c r="O2" i="8"/>
  <c r="E10" i="7"/>
  <c r="D10" i="7"/>
  <c r="F5" i="7"/>
  <c r="F4" i="7"/>
  <c r="F3" i="7"/>
  <c r="F9" i="7" s="1"/>
  <c r="I9" i="6"/>
  <c r="H9" i="6"/>
  <c r="I8" i="6"/>
  <c r="H8" i="6"/>
  <c r="I7" i="6"/>
  <c r="H7" i="6"/>
  <c r="I6" i="6"/>
  <c r="H6" i="6"/>
  <c r="D5" i="6"/>
  <c r="I2" i="6"/>
  <c r="H2" i="6"/>
  <c r="J96" i="3"/>
  <c r="H96" i="3"/>
  <c r="E96" i="3"/>
  <c r="J95" i="3"/>
  <c r="H95" i="3"/>
  <c r="E95" i="3"/>
  <c r="J94" i="3"/>
  <c r="H94" i="3"/>
  <c r="E94" i="3"/>
  <c r="J93" i="3"/>
  <c r="H93" i="3"/>
  <c r="E93" i="3"/>
  <c r="J92" i="3"/>
  <c r="H92" i="3"/>
  <c r="E92" i="3"/>
  <c r="J91" i="3"/>
  <c r="H91" i="3"/>
  <c r="E91" i="3"/>
  <c r="J90" i="3"/>
  <c r="H90" i="3"/>
  <c r="E90" i="3"/>
  <c r="J89" i="3"/>
  <c r="H89" i="3"/>
  <c r="E89" i="3"/>
  <c r="J88" i="3"/>
  <c r="H88" i="3"/>
  <c r="E88" i="3"/>
  <c r="J87" i="3"/>
  <c r="H87" i="3"/>
  <c r="E87" i="3"/>
  <c r="J86" i="3"/>
  <c r="H86" i="3"/>
  <c r="E86" i="3"/>
  <c r="H79" i="3"/>
  <c r="E79" i="3"/>
  <c r="G76" i="3"/>
  <c r="F76" i="3"/>
  <c r="D76" i="3"/>
  <c r="C76" i="3"/>
  <c r="J75" i="3"/>
  <c r="H75" i="3"/>
  <c r="E75" i="3"/>
  <c r="J74" i="3"/>
  <c r="H74" i="3"/>
  <c r="E74" i="3"/>
  <c r="G73" i="3"/>
  <c r="F73" i="3"/>
  <c r="D73" i="3"/>
  <c r="C73" i="3"/>
  <c r="J72" i="3"/>
  <c r="H72" i="3"/>
  <c r="E72" i="3"/>
  <c r="J71" i="3"/>
  <c r="H71" i="3"/>
  <c r="E71" i="3"/>
  <c r="J70" i="3"/>
  <c r="H70" i="3"/>
  <c r="E70" i="3"/>
  <c r="J69" i="3"/>
  <c r="H69" i="3"/>
  <c r="E69" i="3"/>
  <c r="J68" i="3"/>
  <c r="H68" i="3"/>
  <c r="E68" i="3"/>
  <c r="J67" i="3"/>
  <c r="H67" i="3"/>
  <c r="E67" i="3"/>
  <c r="J66" i="3"/>
  <c r="H66" i="3"/>
  <c r="E66" i="3"/>
  <c r="H24" i="3"/>
  <c r="E24" i="3"/>
  <c r="G23" i="3"/>
  <c r="F23" i="3"/>
  <c r="D23" i="3"/>
  <c r="C23" i="3"/>
  <c r="J22" i="3"/>
  <c r="H22" i="3"/>
  <c r="E22" i="3"/>
  <c r="J21" i="3"/>
  <c r="H21" i="3"/>
  <c r="E21" i="3"/>
  <c r="G20" i="3"/>
  <c r="G29" i="3" s="1"/>
  <c r="F20" i="3"/>
  <c r="F29" i="3" s="1"/>
  <c r="D20" i="3"/>
  <c r="C20" i="3"/>
  <c r="C29" i="3" s="1"/>
  <c r="E33" i="3" s="1"/>
  <c r="J19" i="3"/>
  <c r="H19" i="3"/>
  <c r="E19" i="3"/>
  <c r="J18" i="3"/>
  <c r="H18" i="3"/>
  <c r="E18" i="3"/>
  <c r="J17" i="3"/>
  <c r="H17" i="3"/>
  <c r="E17" i="3"/>
  <c r="J16" i="3"/>
  <c r="H16" i="3"/>
  <c r="E16" i="3"/>
  <c r="J15" i="3"/>
  <c r="H15" i="3"/>
  <c r="E15" i="3"/>
  <c r="J14" i="3"/>
  <c r="H14" i="3"/>
  <c r="E14" i="3"/>
  <c r="J13" i="3"/>
  <c r="H13" i="3"/>
  <c r="E13" i="3"/>
  <c r="J12" i="3"/>
  <c r="H12" i="3"/>
  <c r="E12" i="3"/>
  <c r="J11" i="3"/>
  <c r="H11" i="3"/>
  <c r="E11" i="3"/>
  <c r="J10" i="3"/>
  <c r="H10" i="3"/>
  <c r="E10" i="3"/>
  <c r="J9" i="3"/>
  <c r="H9" i="3"/>
  <c r="E9" i="3"/>
  <c r="J8" i="3"/>
  <c r="H8" i="3"/>
  <c r="E8" i="3"/>
  <c r="J7" i="3"/>
  <c r="H7" i="3"/>
  <c r="E7" i="3"/>
  <c r="J6" i="3"/>
  <c r="H6" i="3"/>
  <c r="E6" i="3"/>
  <c r="J5" i="3"/>
  <c r="H5" i="3"/>
  <c r="E5" i="3"/>
  <c r="J4" i="3"/>
  <c r="H4" i="3"/>
  <c r="E4" i="3"/>
  <c r="J3" i="3"/>
  <c r="H3" i="3"/>
  <c r="E3" i="3"/>
  <c r="J2" i="3"/>
  <c r="H2" i="3"/>
  <c r="E2" i="3"/>
  <c r="M23" i="2"/>
  <c r="L23" i="2"/>
  <c r="M22" i="2"/>
  <c r="L22" i="2"/>
  <c r="M21" i="2"/>
  <c r="L21" i="2"/>
  <c r="M19" i="2"/>
  <c r="L19" i="2"/>
  <c r="M18" i="2"/>
  <c r="L18" i="2"/>
  <c r="M17" i="2"/>
  <c r="L17" i="2"/>
  <c r="M16" i="2"/>
  <c r="L16" i="2"/>
  <c r="M15" i="2"/>
  <c r="L15" i="2"/>
  <c r="M14" i="2"/>
  <c r="L14" i="2"/>
  <c r="M13" i="2"/>
  <c r="L13" i="2"/>
  <c r="M12" i="2"/>
  <c r="L12" i="2"/>
  <c r="M11" i="2"/>
  <c r="L11" i="2"/>
  <c r="M10" i="2"/>
  <c r="L10" i="2"/>
  <c r="M8" i="2"/>
  <c r="L8" i="2"/>
  <c r="L6" i="2"/>
  <c r="M5" i="2"/>
  <c r="L5" i="2"/>
  <c r="M4" i="2"/>
  <c r="L4" i="2"/>
  <c r="M2" i="2"/>
  <c r="L2" i="2"/>
  <c r="E23" i="3" l="1"/>
  <c r="J23" i="3"/>
  <c r="E73" i="3"/>
  <c r="H73" i="3"/>
  <c r="E76" i="3"/>
  <c r="J76" i="3"/>
  <c r="H76" i="3"/>
  <c r="I5" i="6"/>
  <c r="H5" i="6"/>
  <c r="J264" i="9"/>
  <c r="R101" i="9"/>
  <c r="I264" i="9"/>
  <c r="R120" i="9"/>
  <c r="G33" i="3"/>
  <c r="H20" i="3"/>
  <c r="E20" i="3"/>
  <c r="J73" i="3"/>
  <c r="R264" i="9"/>
  <c r="R22" i="9"/>
  <c r="R60" i="9"/>
  <c r="R99" i="9"/>
  <c r="J20" i="3"/>
  <c r="H23" i="3"/>
  <c r="H33" i="3" s="1"/>
  <c r="H29"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Murphy, Kevin</author>
  </authors>
  <commentList>
    <comment ref="G22" authorId="0" shapeId="0" xr:uid="{00000000-0006-0000-0800-000001000000}">
      <text>
        <r>
          <rPr>
            <b/>
            <sz val="9"/>
            <color indexed="81"/>
            <rFont val="Tahoma"/>
            <family val="2"/>
          </rPr>
          <t>Murphy, Kevin:</t>
        </r>
        <r>
          <rPr>
            <sz val="9"/>
            <color indexed="81"/>
            <rFont val="Tahoma"/>
            <family val="2"/>
          </rPr>
          <t xml:space="preserve">
16</t>
        </r>
      </text>
    </comment>
    <comment ref="G230" authorId="0" shapeId="0" xr:uid="{00000000-0006-0000-0800-000002000000}">
      <text>
        <r>
          <rPr>
            <b/>
            <sz val="9"/>
            <color indexed="81"/>
            <rFont val="Tahoma"/>
            <family val="2"/>
          </rPr>
          <t>Murphy, Kevin:</t>
        </r>
        <r>
          <rPr>
            <sz val="9"/>
            <color indexed="81"/>
            <rFont val="Tahoma"/>
            <family val="2"/>
          </rPr>
          <t xml:space="preserve">
Microlax enema</t>
        </r>
      </text>
    </comment>
  </commentList>
</comments>
</file>

<file path=xl/sharedStrings.xml><?xml version="1.0" encoding="utf-8"?>
<sst xmlns="http://schemas.openxmlformats.org/spreadsheetml/2006/main" count="1462" uniqueCount="870">
  <si>
    <t>Author</t>
  </si>
  <si>
    <t>Year</t>
  </si>
  <si>
    <t>All ages / ≥ 65</t>
  </si>
  <si>
    <t>search</t>
  </si>
  <si>
    <t>Cheong</t>
  </si>
  <si>
    <t>≥65</t>
  </si>
  <si>
    <t>Conforti</t>
  </si>
  <si>
    <t>Corsonello</t>
  </si>
  <si>
    <t>Fernandez-Regueiro</t>
  </si>
  <si>
    <t>Lavan</t>
  </si>
  <si>
    <t>Leach</t>
  </si>
  <si>
    <t>O'Connor</t>
  </si>
  <si>
    <t>Onder</t>
  </si>
  <si>
    <t>O'Sullivan</t>
  </si>
  <si>
    <t>Reichel</t>
  </si>
  <si>
    <t>Tangiisuran</t>
  </si>
  <si>
    <t>Ayub / Da Silva</t>
  </si>
  <si>
    <t>All ages</t>
  </si>
  <si>
    <t xml:space="preserve">Bowman </t>
  </si>
  <si>
    <t>Caldron-Ospina</t>
  </si>
  <si>
    <t>Davies</t>
  </si>
  <si>
    <t>Ganeva</t>
  </si>
  <si>
    <t xml:space="preserve">Ganeva </t>
  </si>
  <si>
    <t>Giardina</t>
  </si>
  <si>
    <t>Gonzalez-Martin</t>
  </si>
  <si>
    <t>Harugeri</t>
  </si>
  <si>
    <t>Kaur</t>
  </si>
  <si>
    <t>Mohebbi</t>
  </si>
  <si>
    <t>Mugosa</t>
  </si>
  <si>
    <t>Total N</t>
  </si>
  <si>
    <t>total n pt ADRs</t>
  </si>
  <si>
    <r>
      <t>% pt</t>
    </r>
    <r>
      <rPr>
        <b/>
        <u/>
        <sz val="11"/>
        <color theme="1"/>
        <rFont val="Calibri"/>
        <family val="2"/>
      </rPr>
      <t xml:space="preserve"> ADR</t>
    </r>
  </si>
  <si>
    <r>
      <t xml:space="preserve">n </t>
    </r>
    <r>
      <rPr>
        <b/>
        <u/>
        <sz val="11"/>
        <color theme="1"/>
        <rFont val="Calibri"/>
        <family val="2"/>
      </rPr>
      <t>≥ 65</t>
    </r>
  </si>
  <si>
    <t>≥ 65 pt ADRs</t>
  </si>
  <si>
    <r>
      <t xml:space="preserve">% pt </t>
    </r>
    <r>
      <rPr>
        <b/>
        <u/>
        <sz val="11"/>
        <color theme="1"/>
        <rFont val="Calibri"/>
        <family val="2"/>
      </rPr>
      <t>≥ 65 ADR</t>
    </r>
  </si>
  <si>
    <r>
      <t xml:space="preserve">Only </t>
    </r>
    <r>
      <rPr>
        <b/>
        <u/>
        <sz val="11"/>
        <color theme="1"/>
        <rFont val="Calibri"/>
        <family val="2"/>
      </rPr>
      <t>≥65</t>
    </r>
  </si>
  <si>
    <t>% of N ≥65</t>
  </si>
  <si>
    <t>ADRprev_ALL</t>
  </si>
  <si>
    <t>Bowman</t>
  </si>
  <si>
    <t>Y</t>
  </si>
  <si>
    <t>(370 aged 70 above with 112 pts having ADR)</t>
  </si>
  <si>
    <t>(521 in study but only 500 received drugs and therefore included)</t>
  </si>
  <si>
    <t>(204 aged 71 or above with 46 pts having ADR)</t>
  </si>
  <si>
    <t>(737 in study we used control arm 376)</t>
  </si>
  <si>
    <r>
      <t xml:space="preserve">Reichel </t>
    </r>
    <r>
      <rPr>
        <i/>
        <sz val="11"/>
        <color theme="1"/>
        <rFont val="Calibri"/>
        <family val="2"/>
        <scheme val="minor"/>
      </rPr>
      <t>*(? Report as events rather than pts)</t>
    </r>
  </si>
  <si>
    <t>(54 of 193 events [overall 146 pts] were drug related)</t>
  </si>
  <si>
    <t>Reichel *(? Report as events rather than pts)</t>
  </si>
  <si>
    <t>Tangiisuran* (already subset of 2014)</t>
  </si>
  <si>
    <r>
      <t xml:space="preserve">This is the </t>
    </r>
    <r>
      <rPr>
        <i/>
        <sz val="11"/>
        <color theme="1"/>
        <rFont val="Calibri"/>
        <family val="2"/>
      </rPr>
      <t>≥</t>
    </r>
    <r>
      <rPr>
        <i/>
        <sz val="9.35"/>
        <color theme="1"/>
        <rFont val="Calibri"/>
        <family val="2"/>
      </rPr>
      <t xml:space="preserve"> 80 subset of the 2014 paper </t>
    </r>
    <r>
      <rPr>
        <b/>
        <i/>
        <u/>
        <sz val="9.35"/>
        <color theme="1"/>
        <rFont val="Calibri"/>
        <family val="2"/>
      </rPr>
      <t>DO NOT COUNT TWICE</t>
    </r>
  </si>
  <si>
    <t>N</t>
  </si>
  <si>
    <t>*poster ? Quality; 304 events in 104 patients</t>
  </si>
  <si>
    <t>numbers from Table 1</t>
  </si>
  <si>
    <t>Total</t>
  </si>
  <si>
    <r>
      <t xml:space="preserve">studies </t>
    </r>
    <r>
      <rPr>
        <sz val="11"/>
        <color theme="1"/>
        <rFont val="Calibri"/>
        <family val="2"/>
      </rPr>
      <t>≥</t>
    </r>
    <r>
      <rPr>
        <sz val="9.35"/>
        <color theme="1"/>
        <rFont val="Calibri"/>
        <family val="2"/>
      </rPr>
      <t xml:space="preserve"> 65</t>
    </r>
  </si>
  <si>
    <r>
      <t xml:space="preserve">ADR % </t>
    </r>
    <r>
      <rPr>
        <sz val="11"/>
        <color theme="1"/>
        <rFont val="Calibri"/>
        <family val="2"/>
      </rPr>
      <t>≥</t>
    </r>
    <r>
      <rPr>
        <sz val="11"/>
        <color theme="1"/>
        <rFont val="Calibri"/>
        <family val="2"/>
        <scheme val="minor"/>
      </rPr>
      <t xml:space="preserve"> 65</t>
    </r>
  </si>
  <si>
    <t>Extra data from author</t>
  </si>
  <si>
    <t>Country</t>
  </si>
  <si>
    <t xml:space="preserve">Lanugage </t>
  </si>
  <si>
    <t>Duration</t>
  </si>
  <si>
    <t>Setting</t>
  </si>
  <si>
    <t>Population</t>
  </si>
  <si>
    <t>Design</t>
  </si>
  <si>
    <t>Total n</t>
  </si>
  <si>
    <t>Overall Male %</t>
  </si>
  <si>
    <t>Overall Female %</t>
  </si>
  <si>
    <t>Average age</t>
  </si>
  <si>
    <t>Age Range</t>
  </si>
  <si>
    <t>Polypharmacy</t>
  </si>
  <si>
    <t>Multimorbidity</t>
  </si>
  <si>
    <t>Comments</t>
  </si>
  <si>
    <t>Yes</t>
  </si>
  <si>
    <t>Brazil</t>
  </si>
  <si>
    <t>English</t>
  </si>
  <si>
    <t>6 months</t>
  </si>
  <si>
    <t>Jan - June 2007</t>
  </si>
  <si>
    <t>Intensive care unit</t>
  </si>
  <si>
    <t>&gt;18 years admitted to ICU</t>
  </si>
  <si>
    <t>Prospective Observational Study</t>
  </si>
  <si>
    <t>57.3 +/- 16.3</t>
  </si>
  <si>
    <t>19-90</t>
  </si>
  <si>
    <t>17.2 +/- 2.4</t>
  </si>
  <si>
    <t>4.71 +/- 1.6</t>
  </si>
  <si>
    <t>Bowman *</t>
  </si>
  <si>
    <t>No</t>
  </si>
  <si>
    <t>USA</t>
  </si>
  <si>
    <t>4 months</t>
  </si>
  <si>
    <t>April - Aug</t>
  </si>
  <si>
    <t>County General Hopstial - internal medicine wards &amp; 3 ICU units</t>
  </si>
  <si>
    <t xml:space="preserve">all patients admitted </t>
  </si>
  <si>
    <t>Post Hoc Analysis</t>
  </si>
  <si>
    <t>*</t>
  </si>
  <si>
    <t>54+/-18</t>
  </si>
  <si>
    <t>17-101</t>
  </si>
  <si>
    <t>Same dataset as Bowman 1994. However, more extractable from this paper</t>
  </si>
  <si>
    <t>Colombia</t>
  </si>
  <si>
    <t xml:space="preserve">1 month </t>
  </si>
  <si>
    <t>24 April - 26 May 2006</t>
  </si>
  <si>
    <t>Level 3 University Hospital</t>
  </si>
  <si>
    <t>All admitted non-ICU, non-ADR presenting patients &gt; 18 years</t>
  </si>
  <si>
    <t>Italy</t>
  </si>
  <si>
    <t>Feb - July 2009</t>
  </si>
  <si>
    <t>Geriatric wards University Hospital</t>
  </si>
  <si>
    <t xml:space="preserve">All patiens aged 65 or older ADRs at admission and in hospital </t>
  </si>
  <si>
    <t>81.9 +/- 7.1</t>
  </si>
  <si>
    <t>This is handsearch paper of Constantini - died before published data</t>
  </si>
  <si>
    <t>3 months</t>
  </si>
  <si>
    <t>1 April - 30 June 2007</t>
  </si>
  <si>
    <t>Collaborative observational group - PharmacosurVeillance in the elderly care</t>
  </si>
  <si>
    <t>patients aged 65 or older admitted to 11 acute care medical wards</t>
  </si>
  <si>
    <t>80.1 +/- 6</t>
  </si>
  <si>
    <t>10.6 +/- 5.5</t>
  </si>
  <si>
    <t>3.7 +/-1.9</t>
  </si>
  <si>
    <t>? Same dataset as Lattanzio</t>
  </si>
  <si>
    <t>UK</t>
  </si>
  <si>
    <t>June - Dec 2005</t>
  </si>
  <si>
    <t>12 wards, medical and surgical, University Hospital</t>
  </si>
  <si>
    <t>All admitted patients of all ages Mon-Fri medical and surgical</t>
  </si>
  <si>
    <t>Spain</t>
  </si>
  <si>
    <t>Spanish</t>
  </si>
  <si>
    <t>5 months</t>
  </si>
  <si>
    <t>Feb - June 2010</t>
  </si>
  <si>
    <t xml:space="preserve">Internal medicine service </t>
  </si>
  <si>
    <t>Adults aged 65 or older admitted in internal medicine departmentwith at least one inappropriate drug prescription prior to or during first 48 hours of admission</t>
  </si>
  <si>
    <t>81.3 +/- 6.6</t>
  </si>
  <si>
    <t>66-101</t>
  </si>
  <si>
    <t>median 9 range 3-16), 81 &gt; 6 meds</t>
  </si>
  <si>
    <t>8 +/- 3</t>
  </si>
  <si>
    <t>Bulgaria</t>
  </si>
  <si>
    <t>24 months</t>
  </si>
  <si>
    <t>March 2013 - March 2015</t>
  </si>
  <si>
    <t>Acute dermatology service, University Hospital</t>
  </si>
  <si>
    <t xml:space="preserve">all patients consecutively hospitalised </t>
  </si>
  <si>
    <t>18 months</t>
  </si>
  <si>
    <t>March 2009 - August 2011</t>
  </si>
  <si>
    <t>6.1 +/- 2.4</t>
  </si>
  <si>
    <t>2.7 +/-1.8</t>
  </si>
  <si>
    <t>60 months</t>
  </si>
  <si>
    <t>June 1999 - June 2004</t>
  </si>
  <si>
    <t>48.9 +/- 18.9</t>
  </si>
  <si>
    <t>5-91 yrs</t>
  </si>
  <si>
    <t xml:space="preserve">Chile </t>
  </si>
  <si>
    <t>8 months</t>
  </si>
  <si>
    <t>April - Nov 1996</t>
  </si>
  <si>
    <t>Internal Medicine Service of. Clinical Hospital of the Catholic University</t>
  </si>
  <si>
    <t>Adults of both sexes,&gt; 18 years old. In the&gt; 65 years, a degree of incapacity not&gt; 2, according to the scale of the Spanish Red Cross, 15 both in the physical and the psychological evaluation. Patients &lt;65 years who did not show serious cognitive or psychiatric disorders.</t>
  </si>
  <si>
    <t>India</t>
  </si>
  <si>
    <t>july 2007 - Dec 2009</t>
  </si>
  <si>
    <t>medicine wards of two tertiary care teaching hospitals</t>
  </si>
  <si>
    <t xml:space="preserve">inpatients aged 60 years or above </t>
  </si>
  <si>
    <t>60-108</t>
  </si>
  <si>
    <t>Ireland</t>
  </si>
  <si>
    <t>Feb 2014 - Aug 2015</t>
  </si>
  <si>
    <t>SENATOR - 6 European sites</t>
  </si>
  <si>
    <t>aged 65 or above, acute hospitalisation with 3 or more chronic medical conditons recruited within 72 hours of admission</t>
  </si>
  <si>
    <t>Multicentre prospective observational study</t>
  </si>
  <si>
    <t>77.8 +/- 7.4</t>
  </si>
  <si>
    <t>9.9 +/- 3.8</t>
  </si>
  <si>
    <t>5.4 +/- 1.9</t>
  </si>
  <si>
    <t>5 Months</t>
  </si>
  <si>
    <t>1 Jan 1985 - 31 May 1985</t>
  </si>
  <si>
    <t>Acute geriatric unit district general hospital under one consultant</t>
  </si>
  <si>
    <t>all consecutive admissions under the one consultant</t>
  </si>
  <si>
    <t>Iran</t>
  </si>
  <si>
    <t>Two CCU wards of Tehran Heart Centre</t>
  </si>
  <si>
    <t>admitted, receiving at least one cardiovascular drug. Those who underwent CPR were excluded</t>
  </si>
  <si>
    <t>Montenegro</t>
  </si>
  <si>
    <t>1 April - 1 Oct 2013</t>
  </si>
  <si>
    <t>Cardiology centre, critical care centre of Montenegro</t>
  </si>
  <si>
    <t>hospitalised patients &gt; 3 days, adults &gt; 18 years, cognitively intact for questioning. Excluded dementia</t>
  </si>
  <si>
    <t>60.5 +/- 10</t>
  </si>
  <si>
    <t>12 Months</t>
  </si>
  <si>
    <t>May 2011 - May 2012</t>
  </si>
  <si>
    <t>Tertiary referral Hospital; Cork University Hospital</t>
  </si>
  <si>
    <t>all acutely ill admiteed patients aged 65 years or older. Excluded geriatric medicine, pharmacology, palliative, psychiatry and ICU</t>
  </si>
  <si>
    <t>Single blind cluster randomised conrolled trial</t>
  </si>
  <si>
    <t>78 IQR 72-84</t>
  </si>
  <si>
    <r>
      <t xml:space="preserve">8 IQR 6-11; 291/372 </t>
    </r>
    <r>
      <rPr>
        <sz val="11"/>
        <color theme="1"/>
        <rFont val="Calibri"/>
        <family val="2"/>
      </rPr>
      <t>≥ 5 meds</t>
    </r>
  </si>
  <si>
    <t>control arm only</t>
  </si>
  <si>
    <t>July 2010 - Oct 2010</t>
  </si>
  <si>
    <t>aged 65 or above, consecutive emergency admissions those admitted to the Intensive Care Unit, psychiatry or palliative care services were excluded</t>
  </si>
  <si>
    <t>77 IQR 72-82</t>
  </si>
  <si>
    <r>
      <t xml:space="preserve">7 1QR 1-10; 67% </t>
    </r>
    <r>
      <rPr>
        <sz val="11"/>
        <color theme="1"/>
        <rFont val="Calibri"/>
        <family val="2"/>
      </rPr>
      <t>≥6 meds</t>
    </r>
  </si>
  <si>
    <t>80% 4 or more chronic comorbidities</t>
  </si>
  <si>
    <t>The study periods were May 1 to June 30, 1988, and September 1 to December 31, 1988; May 15 to June 15, 1991; and May 1 to June 30 and September 1 to October 31 in 1993, 1995, 1997, and 1998</t>
  </si>
  <si>
    <t>GIFA Study 83 Italian centres, commnity and Uinversity Hospitals; Similar cohort for validation across 4 European sites</t>
  </si>
  <si>
    <t>Subset of GIFA study aged 65 years or above and admitted to hospital</t>
  </si>
  <si>
    <t>GIFA - 78+/-7.9</t>
  </si>
  <si>
    <r>
      <t xml:space="preserve">66% [GIFA], 88% [validation] </t>
    </r>
    <r>
      <rPr>
        <sz val="11"/>
        <color theme="1"/>
        <rFont val="Calibri"/>
        <family val="2"/>
      </rPr>
      <t>≥ 5 meds</t>
    </r>
  </si>
  <si>
    <r>
      <t xml:space="preserve">50% [GIFA] 72% [Validation] </t>
    </r>
    <r>
      <rPr>
        <sz val="11"/>
        <color theme="1"/>
        <rFont val="Calibri"/>
        <family val="2"/>
      </rPr>
      <t>≥4 comorbid conditions</t>
    </r>
  </si>
  <si>
    <t>13 months</t>
  </si>
  <si>
    <t>June 2011 - July 2012</t>
  </si>
  <si>
    <t>acute illness, aged 65 years or above, admitted to medical or surgical services</t>
  </si>
  <si>
    <t>Cluster randomised control trial</t>
  </si>
  <si>
    <r>
      <t xml:space="preserve">85.4% </t>
    </r>
    <r>
      <rPr>
        <sz val="11"/>
        <color theme="1"/>
        <rFont val="Calibri"/>
        <family val="2"/>
      </rPr>
      <t>≥5 medications</t>
    </r>
  </si>
  <si>
    <t>RCT - We used control arm only total N 737</t>
  </si>
  <si>
    <t>1 July 1964-28 Feb 1965</t>
  </si>
  <si>
    <t>Stanford teaching service of County General Hospital</t>
  </si>
  <si>
    <t>patients aged 65 or older admitted to the service</t>
  </si>
  <si>
    <t>6 Months</t>
  </si>
  <si>
    <t>Jan - March 2007, Jan - March 2008</t>
  </si>
  <si>
    <t>4 care of the elderly wards Brighton and Sussex University Hospitals NHS Trust</t>
  </si>
  <si>
    <t>Patients 80 years of age and older</t>
  </si>
  <si>
    <t>87+/- 4.6</t>
  </si>
  <si>
    <t>80-103</t>
  </si>
  <si>
    <t>6 (3-8) in ADR; 5 (3-7) non-ADR</t>
  </si>
  <si>
    <t>8 (6-10) in ADR; 8 (6-10) non-ADR</t>
  </si>
  <si>
    <t>4 care of the elderly wards (2 Stroke) Brighton and Sussex University Hospitals NHS Trust</t>
  </si>
  <si>
    <t>all patients admitted aged 65 or above</t>
  </si>
  <si>
    <t>690 + validation group 483</t>
  </si>
  <si>
    <t>Dev - 39%, Val - 42.2%</t>
  </si>
  <si>
    <t>Dev - 61%, Val - 57.8</t>
  </si>
  <si>
    <t>dev - 80 (75-86), val - 85 (81-89)</t>
  </si>
  <si>
    <t>dev - 6 (3-8), val - 5 (4-8) @ admission</t>
  </si>
  <si>
    <t>dev - 8 (6-10), val - not doc</t>
  </si>
  <si>
    <t>21 Months</t>
  </si>
  <si>
    <t>Jan - Sept 2015, July 2016 - October 2017</t>
  </si>
  <si>
    <t>geriatric wards of large tertiary care referral centre</t>
  </si>
  <si>
    <t xml:space="preserve">&gt;50 hospitalized to geriatric ward </t>
  </si>
  <si>
    <t>69 +/- 18.55</t>
  </si>
  <si>
    <t>Singapore</t>
  </si>
  <si>
    <t>Geraitric medicine service tertiary hospital</t>
  </si>
  <si>
    <t xml:space="preserve">150 older adults </t>
  </si>
  <si>
    <t>retrospective observational study</t>
  </si>
  <si>
    <t>89.7 +/- 4.0</t>
  </si>
  <si>
    <t>Jan 2014 - Dec 2015</t>
  </si>
  <si>
    <t xml:space="preserve">6 internal medicine wards across two hospitals </t>
  </si>
  <si>
    <t xml:space="preserve">all adult patients admitted </t>
  </si>
  <si>
    <t xml:space="preserve">observational </t>
  </si>
  <si>
    <t>given by pt grouos ADR vs none</t>
  </si>
  <si>
    <t>48% on 5 or more medications</t>
  </si>
  <si>
    <t>ADR Definition</t>
  </si>
  <si>
    <t>Identification</t>
  </si>
  <si>
    <t>Causality</t>
  </si>
  <si>
    <t>Severity</t>
  </si>
  <si>
    <t>Classification</t>
  </si>
  <si>
    <t>WHO</t>
  </si>
  <si>
    <t>weekly collection x 3 weeks; chart review by pharmacist; method adapted from Nationanl Health Surveillance Agency</t>
  </si>
  <si>
    <t>Naranjo</t>
  </si>
  <si>
    <t>Not documented</t>
  </si>
  <si>
    <t>Rawlins &amp; Thompson</t>
  </si>
  <si>
    <t>hospital pharmacy and therapeutic committee</t>
  </si>
  <si>
    <t>chart review; two pharmacists at admission, discharge and 3-4 days; indicator flag list and spontaneous reporting</t>
  </si>
  <si>
    <t>Venulet</t>
  </si>
  <si>
    <t xml:space="preserve">Daily assessment by two internal physician evaluators, patient questioning and then panel adjudicaton </t>
  </si>
  <si>
    <t>WHO-UMC</t>
  </si>
  <si>
    <t>Author defined</t>
  </si>
  <si>
    <t>DoTS</t>
  </si>
  <si>
    <t>Edwards &amp; Aronson</t>
  </si>
  <si>
    <t xml:space="preserve">"patients were monitored" by nurse and physician </t>
  </si>
  <si>
    <t>WHO-ART</t>
  </si>
  <si>
    <t>study physician - Daily review of chart, laboratory results, discussion with nurse and attending physician</t>
  </si>
  <si>
    <t>Study wards were visited daily by the research pharmacist, and patients’ drug charts, medical and nursing notes were reviewed for evidence of an ADR.</t>
  </si>
  <si>
    <t>Hartwig</t>
  </si>
  <si>
    <t>Bates reference</t>
  </si>
  <si>
    <t xml:space="preserve">Spanish system of pharmacovigilance </t>
  </si>
  <si>
    <t>Screened during clincal rounds, analysis of laboratory data</t>
  </si>
  <si>
    <t>medical chart review</t>
  </si>
  <si>
    <t>cauthor defined - lincal judgement " mild, moderate, severe"</t>
  </si>
  <si>
    <t xml:space="preserve">structured form - past medical and drug history, laboratory test, clinical description of adverse event and outcome. Reviewed by 3 dermatologist and pharmacologist </t>
  </si>
  <si>
    <t>WHO-ART &amp; Rawlins</t>
  </si>
  <si>
    <t>Author defined - prior publication</t>
  </si>
  <si>
    <t>The pharmacovigilance method was used intensive prospective, similar to that described by the Boston Collaborative Drug Surveillance Program</t>
  </si>
  <si>
    <t>Author defined - lethal, severe, moderate</t>
  </si>
  <si>
    <t xml:space="preserve">Daily chart, laboratory and nursing notes review by clinical pharmacist </t>
  </si>
  <si>
    <t>Application of trigger list to all notes and labs at recruitement and then retrospectively at D14/DC; all cases adjudicated</t>
  </si>
  <si>
    <t>patient interview and notes review</t>
  </si>
  <si>
    <t>Kramer</t>
  </si>
  <si>
    <t>Hurwitz</t>
  </si>
  <si>
    <t>Daily review by pharmacist, patient interview, chart review, lab results and confirmatory discussion with physicans</t>
  </si>
  <si>
    <t>Questionnaire, patient interview, open question re ADR, the specific ADR Sx question, the SPC drug specific questions. Followed by discussion between interviewer and physician</t>
  </si>
  <si>
    <t>Meyboom, Rawlins and System organ</t>
  </si>
  <si>
    <t>Not Documented</t>
  </si>
  <si>
    <t>primary researcher review at D5 and D10 - Mediciations, medical and nursing notes, labs. Followed by patient and physician consultation</t>
  </si>
  <si>
    <t>Author defined - severe, moderate, mild</t>
  </si>
  <si>
    <t>Study physician, daily visit to ward and review of nursing and medical notes</t>
  </si>
  <si>
    <t xml:space="preserve">D7-10 or discharge pharmacist interview with patient or next of kin; review of all notes, labs, kardex and trigger list. All identified potential ADRs reviewed by geriatrican </t>
  </si>
  <si>
    <t>Author defined - "new problem"</t>
  </si>
  <si>
    <t xml:space="preserve">daily chart review by chief medical resident [investigator] - labs, medical and nursing notes, kardex, investigations, autopsy reports </t>
  </si>
  <si>
    <t xml:space="preserve">3 step process; daily review of labs, notes, prescriptions - identify confirm and classify </t>
  </si>
  <si>
    <t>Hallas</t>
  </si>
  <si>
    <t>Morimoto</t>
  </si>
  <si>
    <t>Dev - Edwards &amp; Aronson; Val - not dicumented</t>
  </si>
  <si>
    <t>Primary investigator trigger tool and review of medical and nursing notes, labs, drug charts and incident forms</t>
  </si>
  <si>
    <t>Dev - Hallas; val - Naranjo</t>
  </si>
  <si>
    <t>Patient/attendants were asked to report any new symptom to nursing staff on duty or the medical social worker or the treating physician with expertise in geriatrics or physician with expertise in pharmacology; In addition,  active checking of medical records  was done by physician/pharmacologist to look for any ADR.</t>
  </si>
  <si>
    <t>Reported</t>
  </si>
  <si>
    <t>Method</t>
  </si>
  <si>
    <t># ≥ 65 ADRs</t>
  </si>
  <si>
    <t>Definite</t>
  </si>
  <si>
    <t>Probable</t>
  </si>
  <si>
    <t>Possible</t>
  </si>
  <si>
    <t>Doubtful</t>
  </si>
  <si>
    <t>Unlikely</t>
  </si>
  <si>
    <t>Not Applicable</t>
  </si>
  <si>
    <t>notes</t>
  </si>
  <si>
    <t>89 pts</t>
  </si>
  <si>
    <t>didn't included 2 therapeutic failures</t>
  </si>
  <si>
    <t>6.5% Pts [383] had probable / definite ADRs</t>
  </si>
  <si>
    <t>Hallas / Naranjo</t>
  </si>
  <si>
    <t xml:space="preserve">? Total n ADRs? "95 in 690 dev group, unclear validation group </t>
  </si>
  <si>
    <t>106 ADRs in 72 pts</t>
  </si>
  <si>
    <t xml:space="preserve">Details </t>
  </si>
  <si>
    <t>Type A</t>
  </si>
  <si>
    <t>Type B</t>
  </si>
  <si>
    <t>Type A %</t>
  </si>
  <si>
    <t>Type B %</t>
  </si>
  <si>
    <t xml:space="preserve">Giardina </t>
  </si>
  <si>
    <t>EMA-2014</t>
  </si>
  <si>
    <t>Unable to separate &lt;65 and &gt;65</t>
  </si>
  <si>
    <t>n ≥ 65</t>
  </si>
  <si>
    <t>% deemed preventable</t>
  </si>
  <si>
    <t>Tool</t>
  </si>
  <si>
    <t>Definitely</t>
  </si>
  <si>
    <t>Possibly</t>
  </si>
  <si>
    <t>Unavoidable</t>
  </si>
  <si>
    <t xml:space="preserve">Schumock &amp; Thornton </t>
  </si>
  <si>
    <t>unable to separate &lt; 65 from &gt;65</t>
  </si>
  <si>
    <t>Details not reported</t>
  </si>
  <si>
    <t xml:space="preserve">Any Details </t>
  </si>
  <si>
    <t xml:space="preserve">n ≥ 65 </t>
  </si>
  <si>
    <t>% Reported as serious</t>
  </si>
  <si>
    <t>Mild</t>
  </si>
  <si>
    <t>Moderate</t>
  </si>
  <si>
    <t>Severe</t>
  </si>
  <si>
    <t>Significant</t>
  </si>
  <si>
    <t>Serious</t>
  </si>
  <si>
    <t>Life-threatening</t>
  </si>
  <si>
    <t>counted percentage</t>
  </si>
  <si>
    <t>Bowman*</t>
  </si>
  <si>
    <t>*89 pts had at least 1 ADR, 28% mild, 58% moderate, 14% severe</t>
  </si>
  <si>
    <t>*58 pts had ADRs 29 =1; 17 = 2 and 12 at least 3</t>
  </si>
  <si>
    <t>Hartwig Scale</t>
  </si>
  <si>
    <t>Self described clincal judgement</t>
  </si>
  <si>
    <t>24% severe</t>
  </si>
  <si>
    <t>64% severe</t>
  </si>
  <si>
    <t xml:space="preserve">*72 patients </t>
  </si>
  <si>
    <t># pts ≥ 65 ADRs</t>
  </si>
  <si>
    <t>35 pts at least 1 ADR</t>
  </si>
  <si>
    <t>Acarbose</t>
  </si>
  <si>
    <t>A10BF01</t>
  </si>
  <si>
    <t>ACE-I ARBs</t>
  </si>
  <si>
    <t>C09</t>
  </si>
  <si>
    <t>Acenocoumarol</t>
  </si>
  <si>
    <t>B01AA07</t>
  </si>
  <si>
    <t>albendazole</t>
  </si>
  <si>
    <t>P02CA03 </t>
  </si>
  <si>
    <t>alendronate</t>
  </si>
  <si>
    <t>M05BA04</t>
  </si>
  <si>
    <t>alfentanil</t>
  </si>
  <si>
    <t>N01AH02</t>
  </si>
  <si>
    <t>allopurinol</t>
  </si>
  <si>
    <t>M04</t>
  </si>
  <si>
    <t>anfentanil</t>
  </si>
  <si>
    <t>amikacin</t>
  </si>
  <si>
    <t>J01GB06</t>
  </si>
  <si>
    <t>Aminophylline</t>
  </si>
  <si>
    <t>R03DA55</t>
  </si>
  <si>
    <t>aminoquinolines</t>
  </si>
  <si>
    <t>P01BA</t>
  </si>
  <si>
    <t>amiodarone</t>
  </si>
  <si>
    <t>C01BD01</t>
  </si>
  <si>
    <t>amitriptyline</t>
  </si>
  <si>
    <t>N06AA09 </t>
  </si>
  <si>
    <t xml:space="preserve">Amlodipine </t>
  </si>
  <si>
    <t>C08CA01</t>
  </si>
  <si>
    <t>amobarbital sodium</t>
  </si>
  <si>
    <t xml:space="preserve">N05CA02 </t>
  </si>
  <si>
    <t>amoxicillin</t>
  </si>
  <si>
    <t>J01CA04</t>
  </si>
  <si>
    <t>ampicillin</t>
  </si>
  <si>
    <t>J01CA01</t>
  </si>
  <si>
    <t>analgesics and antipyretics</t>
  </si>
  <si>
    <t>N02B</t>
  </si>
  <si>
    <t>angiotensin-2 receptor antagonists</t>
  </si>
  <si>
    <t>C09CA</t>
  </si>
  <si>
    <t>Angiotensin-converting enzyme inhibitors</t>
  </si>
  <si>
    <t>C09A</t>
  </si>
  <si>
    <t>antibacterials</t>
  </si>
  <si>
    <t>J01</t>
  </si>
  <si>
    <t xml:space="preserve">Antibiotics </t>
  </si>
  <si>
    <t>J04AB</t>
  </si>
  <si>
    <t>anticholinesterases</t>
  </si>
  <si>
    <t>N06DA</t>
  </si>
  <si>
    <t>anticoagulants</t>
  </si>
  <si>
    <t xml:space="preserve">B01 </t>
  </si>
  <si>
    <t>anti-diabetic agents</t>
  </si>
  <si>
    <t>A10</t>
  </si>
  <si>
    <t>antiepileptics</t>
  </si>
  <si>
    <t xml:space="preserve">N03AF </t>
  </si>
  <si>
    <t>antihistamines</t>
  </si>
  <si>
    <t>R06A</t>
  </si>
  <si>
    <t>antihypertensives excl. ACE-I, ARBS</t>
  </si>
  <si>
    <t>antihypertensives excl diuretics and bblocker</t>
  </si>
  <si>
    <t>antihypertensives</t>
  </si>
  <si>
    <t>C02</t>
  </si>
  <si>
    <t>Antineoplastic</t>
  </si>
  <si>
    <t>L01</t>
  </si>
  <si>
    <t>antiplatelets</t>
  </si>
  <si>
    <t>B01AC</t>
  </si>
  <si>
    <t>antipsychotics</t>
  </si>
  <si>
    <t>N05A</t>
  </si>
  <si>
    <t>Antithrombotic agents</t>
  </si>
  <si>
    <t>B01A</t>
  </si>
  <si>
    <t xml:space="preserve">Antithrombotic agents platelet aggregation inhibitors </t>
  </si>
  <si>
    <t>antiulcer agents</t>
  </si>
  <si>
    <t>A02B</t>
  </si>
  <si>
    <t>Aspirin</t>
  </si>
  <si>
    <t>B01AC06 </t>
  </si>
  <si>
    <t>atenolol</t>
  </si>
  <si>
    <t>C07AB03 </t>
  </si>
  <si>
    <t xml:space="preserve">atorvastatin </t>
  </si>
  <si>
    <t>C10AA05</t>
  </si>
  <si>
    <t>Baclofen</t>
  </si>
  <si>
    <t>M03BX01</t>
  </si>
  <si>
    <t>beclomethasone</t>
  </si>
  <si>
    <t>R01AD01 </t>
  </si>
  <si>
    <t>bendroflumethiazide</t>
  </si>
  <si>
    <t>C03AA01</t>
  </si>
  <si>
    <t>benzodiazepines</t>
  </si>
  <si>
    <t>N05BA</t>
  </si>
  <si>
    <t>benzylpenicillin</t>
  </si>
  <si>
    <t>J01CE01 </t>
  </si>
  <si>
    <t>beta-blocking agents</t>
  </si>
  <si>
    <t>C08</t>
  </si>
  <si>
    <t>bisoprolol</t>
  </si>
  <si>
    <t>C07AB07</t>
  </si>
  <si>
    <t>Blood substitutes and perfusion solutions</t>
  </si>
  <si>
    <t>B05</t>
  </si>
  <si>
    <t>budesonide</t>
  </si>
  <si>
    <t>R01AD05</t>
  </si>
  <si>
    <t xml:space="preserve">bumetanide </t>
  </si>
  <si>
    <t>C03CA02</t>
  </si>
  <si>
    <t>bupivacaine</t>
  </si>
  <si>
    <t>N01BB01</t>
  </si>
  <si>
    <t>Calcichew D3 Forte</t>
  </si>
  <si>
    <t>A12AX</t>
  </si>
  <si>
    <t xml:space="preserve">calcitrol </t>
  </si>
  <si>
    <t>A11CC04 </t>
  </si>
  <si>
    <t>calcium-channel blockers</t>
  </si>
  <si>
    <t>carbamazepine</t>
  </si>
  <si>
    <t>N03AF01</t>
  </si>
  <si>
    <t>cardiac glycosides</t>
  </si>
  <si>
    <t>C01A</t>
  </si>
  <si>
    <t>cardiovascular agents</t>
  </si>
  <si>
    <t>C</t>
  </si>
  <si>
    <t>Carvedilol</t>
  </si>
  <si>
    <t>C07AG02</t>
  </si>
  <si>
    <t>cefaclor</t>
  </si>
  <si>
    <t>J01DC04 </t>
  </si>
  <si>
    <t>cefalexin</t>
  </si>
  <si>
    <t>J01DB01</t>
  </si>
  <si>
    <t>cefazolin</t>
  </si>
  <si>
    <t>J01DB04</t>
  </si>
  <si>
    <t>cefradine</t>
  </si>
  <si>
    <t>J01DB09</t>
  </si>
  <si>
    <t>Cefepime</t>
  </si>
  <si>
    <t>J01DE01</t>
  </si>
  <si>
    <t>ceftazidime</t>
  </si>
  <si>
    <t>J01DD02</t>
  </si>
  <si>
    <t>Ceftriaxone</t>
  </si>
  <si>
    <t>J01DD04 </t>
  </si>
  <si>
    <t xml:space="preserve">cefuroxime </t>
  </si>
  <si>
    <t>J01DC02</t>
  </si>
  <si>
    <t>celecoxib</t>
  </si>
  <si>
    <t>M01AH01</t>
  </si>
  <si>
    <t xml:space="preserve">Cephalosporins </t>
  </si>
  <si>
    <t>J01DC</t>
  </si>
  <si>
    <t>chlorothiazide</t>
  </si>
  <si>
    <t>C03AA04 </t>
  </si>
  <si>
    <t>chlorprotixene</t>
  </si>
  <si>
    <t>N05AF03</t>
  </si>
  <si>
    <t>ciprofloxacin</t>
  </si>
  <si>
    <t>J01MA02 </t>
  </si>
  <si>
    <t xml:space="preserve">citalopram </t>
  </si>
  <si>
    <t xml:space="preserve">N06AB04 </t>
  </si>
  <si>
    <t xml:space="preserve">clarithromycin </t>
  </si>
  <si>
    <t>J01FA09 </t>
  </si>
  <si>
    <t>clindamycin</t>
  </si>
  <si>
    <t>J01FF01</t>
  </si>
  <si>
    <t>clopidogrel</t>
  </si>
  <si>
    <t>B01AC04 </t>
  </si>
  <si>
    <t>Co-amilofruse</t>
  </si>
  <si>
    <t>C03EB01</t>
  </si>
  <si>
    <t>Co-amilozide</t>
  </si>
  <si>
    <t xml:space="preserve">‎C03EA01‎ </t>
  </si>
  <si>
    <t>co-amoxiclav</t>
  </si>
  <si>
    <t>J01CR02</t>
  </si>
  <si>
    <t>coaprovel</t>
  </si>
  <si>
    <t>C09DA04 </t>
  </si>
  <si>
    <t>co-codamol</t>
  </si>
  <si>
    <t>N02BE51</t>
  </si>
  <si>
    <t>codeine (</t>
  </si>
  <si>
    <t>tbc</t>
  </si>
  <si>
    <t>co-dydramol</t>
  </si>
  <si>
    <t>N02AJ06</t>
  </si>
  <si>
    <t>co-tenidone</t>
  </si>
  <si>
    <t>C07CB03</t>
  </si>
  <si>
    <t>co-trimaxazole</t>
  </si>
  <si>
    <t>J01EE01</t>
  </si>
  <si>
    <t>combivent</t>
  </si>
  <si>
    <t>R03AL02</t>
  </si>
  <si>
    <t>Colchicine</t>
  </si>
  <si>
    <t>M04AC01</t>
  </si>
  <si>
    <t xml:space="preserve">colistin </t>
  </si>
  <si>
    <t>J01XB01</t>
  </si>
  <si>
    <t>corticosteroids inhaled</t>
  </si>
  <si>
    <t>TBC</t>
  </si>
  <si>
    <t>corticosteroids not specified as systemic or inhaled</t>
  </si>
  <si>
    <t>H02</t>
  </si>
  <si>
    <t>cough supppressant, opium alkaloid</t>
  </si>
  <si>
    <t xml:space="preserve">R05DA </t>
  </si>
  <si>
    <t>cyproheptadin</t>
  </si>
  <si>
    <t>R06AX02 </t>
  </si>
  <si>
    <t>Dalteparin</t>
  </si>
  <si>
    <t>B01AB04 </t>
  </si>
  <si>
    <t>dexamethasone</t>
  </si>
  <si>
    <t>S02BA06 </t>
  </si>
  <si>
    <t>Diamorphine</t>
  </si>
  <si>
    <t>N07BC06 </t>
  </si>
  <si>
    <t>diazepam</t>
  </si>
  <si>
    <t>N05BA01</t>
  </si>
  <si>
    <t>diclofenac</t>
  </si>
  <si>
    <t>M01AB05</t>
  </si>
  <si>
    <t>digoxin</t>
  </si>
  <si>
    <t>C01AA05</t>
  </si>
  <si>
    <t xml:space="preserve">diltiazem </t>
  </si>
  <si>
    <t>C08DB01</t>
  </si>
  <si>
    <t xml:space="preserve">dipyridamole </t>
  </si>
  <si>
    <t>B01AC07 </t>
  </si>
  <si>
    <t xml:space="preserve">Diuretics </t>
  </si>
  <si>
    <t>C03</t>
  </si>
  <si>
    <t>dopaminergics</t>
  </si>
  <si>
    <t>N04B</t>
  </si>
  <si>
    <t>doxazosin</t>
  </si>
  <si>
    <t>C02CA04</t>
  </si>
  <si>
    <t>Drugs for obstructive airway disease</t>
  </si>
  <si>
    <t xml:space="preserve">R03 </t>
  </si>
  <si>
    <t>Drugs for the treatment of bone diseases</t>
  </si>
  <si>
    <t>M05</t>
  </si>
  <si>
    <t>Enalapril</t>
  </si>
  <si>
    <t>C09AA02</t>
  </si>
  <si>
    <t>enema</t>
  </si>
  <si>
    <t>A06AG</t>
  </si>
  <si>
    <t>enoxaparin</t>
  </si>
  <si>
    <t>B01AB05</t>
  </si>
  <si>
    <t xml:space="preserve">erythromycin </t>
  </si>
  <si>
    <t>J01FA01 </t>
  </si>
  <si>
    <t>escitalopram</t>
  </si>
  <si>
    <t>N06AB10</t>
  </si>
  <si>
    <t>Fentanyl</t>
  </si>
  <si>
    <t>N02AB03</t>
  </si>
  <si>
    <t xml:space="preserve">ferrous sulphate </t>
  </si>
  <si>
    <t>B03AA07 </t>
  </si>
  <si>
    <t>flucloxacillin</t>
  </si>
  <si>
    <t>J01CF05</t>
  </si>
  <si>
    <t xml:space="preserve">fluconazole </t>
  </si>
  <si>
    <t>J02AC01</t>
  </si>
  <si>
    <t>fludrocortisone</t>
  </si>
  <si>
    <t>H02AA02</t>
  </si>
  <si>
    <t xml:space="preserve">fluticasone </t>
  </si>
  <si>
    <t>R03BA05</t>
  </si>
  <si>
    <t>fluoxetine</t>
  </si>
  <si>
    <t>N06AB03</t>
  </si>
  <si>
    <t>Furosemide</t>
  </si>
  <si>
    <t>C03CA01</t>
  </si>
  <si>
    <t>fusidic acid</t>
  </si>
  <si>
    <t>D06AX01 </t>
  </si>
  <si>
    <t>gabapentin</t>
  </si>
  <si>
    <t>N03AX12</t>
  </si>
  <si>
    <t>gentamicin</t>
  </si>
  <si>
    <t>J01GB03 </t>
  </si>
  <si>
    <t>glargine</t>
  </si>
  <si>
    <t>A10AE04 </t>
  </si>
  <si>
    <t>glibenclamide</t>
  </si>
  <si>
    <t>A10BB01</t>
  </si>
  <si>
    <t>gliclazide</t>
  </si>
  <si>
    <t>A10BB09</t>
  </si>
  <si>
    <t xml:space="preserve">glimepiride </t>
  </si>
  <si>
    <t>A10BB12 </t>
  </si>
  <si>
    <t>glucocorticoids</t>
  </si>
  <si>
    <t>H02AB</t>
  </si>
  <si>
    <t>glypressin</t>
  </si>
  <si>
    <t>H01BA04</t>
  </si>
  <si>
    <t>Haematinics</t>
  </si>
  <si>
    <t>B03</t>
  </si>
  <si>
    <t>haloperidol</t>
  </si>
  <si>
    <t>N05AD01</t>
  </si>
  <si>
    <t>Heparin</t>
  </si>
  <si>
    <t>B01AB01</t>
  </si>
  <si>
    <t>High-ceiling diuretics (loop)</t>
  </si>
  <si>
    <t>C03C</t>
  </si>
  <si>
    <t xml:space="preserve">High-ceiling sulfonamides </t>
  </si>
  <si>
    <t>C03CA</t>
  </si>
  <si>
    <t>Humulin m3</t>
  </si>
  <si>
    <t>A10AB01</t>
  </si>
  <si>
    <t>Humulin S</t>
  </si>
  <si>
    <t xml:space="preserve">hyoscine butylbromide </t>
  </si>
  <si>
    <t>‎A03BB01‎</t>
  </si>
  <si>
    <t>hydrochlorothiazide</t>
  </si>
  <si>
    <t>C03AA03</t>
  </si>
  <si>
    <t>Hydrocortisone</t>
  </si>
  <si>
    <t>H02AB09</t>
  </si>
  <si>
    <t>hydroxocobalamin</t>
  </si>
  <si>
    <t>B03BA03 </t>
  </si>
  <si>
    <t>hydroxyzine </t>
  </si>
  <si>
    <t>N05BB01</t>
  </si>
  <si>
    <t>hypnotics and sedatives</t>
  </si>
  <si>
    <t>N05C</t>
  </si>
  <si>
    <t>ibuprofen</t>
  </si>
  <si>
    <t>M01AE01</t>
  </si>
  <si>
    <t>indapamide</t>
  </si>
  <si>
    <t>C03BA11</t>
  </si>
  <si>
    <t>insulin or analogues</t>
  </si>
  <si>
    <t>A10AD</t>
  </si>
  <si>
    <t>Insuman Comb</t>
  </si>
  <si>
    <t>A10AD01</t>
  </si>
  <si>
    <t>ipratropium</t>
  </si>
  <si>
    <t>R03BB01</t>
  </si>
  <si>
    <t>Irbesartan</t>
  </si>
  <si>
    <t>C09CA04</t>
  </si>
  <si>
    <t>Iron supplement</t>
  </si>
  <si>
    <t>B03A</t>
  </si>
  <si>
    <t xml:space="preserve">isosorbide mononitrate </t>
  </si>
  <si>
    <t>C01DA14</t>
  </si>
  <si>
    <t xml:space="preserve">isosorbide dinitrate </t>
  </si>
  <si>
    <t>C01DA08</t>
  </si>
  <si>
    <t>IV Fluids</t>
  </si>
  <si>
    <t>B05B</t>
  </si>
  <si>
    <t>Ketoconazole</t>
  </si>
  <si>
    <t>D01AC08</t>
  </si>
  <si>
    <t>lactulose</t>
  </si>
  <si>
    <t>A06AD11</t>
  </si>
  <si>
    <t>lansoprazole</t>
  </si>
  <si>
    <t>A02BC03 </t>
  </si>
  <si>
    <t>laxatives</t>
  </si>
  <si>
    <t>levofloxacin</t>
  </si>
  <si>
    <t>J01MA12</t>
  </si>
  <si>
    <t>linezolid</t>
  </si>
  <si>
    <t>J01XX08 </t>
  </si>
  <si>
    <t>lisinopril</t>
  </si>
  <si>
    <t xml:space="preserve">C09AA03 </t>
  </si>
  <si>
    <t>lithium</t>
  </si>
  <si>
    <t>N05AN</t>
  </si>
  <si>
    <t>lorazepam</t>
  </si>
  <si>
    <t>N05BA06</t>
  </si>
  <si>
    <t>losartan</t>
  </si>
  <si>
    <t>C09CA01</t>
  </si>
  <si>
    <t>lovastatin</t>
  </si>
  <si>
    <t>C10AA02 </t>
  </si>
  <si>
    <t xml:space="preserve">Low-ceiling sulfonamides </t>
  </si>
  <si>
    <t>C03BA</t>
  </si>
  <si>
    <t>midecamycin</t>
  </si>
  <si>
    <t>J01FA03 </t>
  </si>
  <si>
    <t>meralluride</t>
  </si>
  <si>
    <t>**</t>
  </si>
  <si>
    <t>meloxicam</t>
  </si>
  <si>
    <t>M01AC06 </t>
  </si>
  <si>
    <t>melphalan</t>
  </si>
  <si>
    <t>L01AA03</t>
  </si>
  <si>
    <t>metamizol</t>
  </si>
  <si>
    <t>N02BB02</t>
  </si>
  <si>
    <t>metformin</t>
  </si>
  <si>
    <t>A10BA02 </t>
  </si>
  <si>
    <t>Methotrexate</t>
  </si>
  <si>
    <t>L04AX03 </t>
  </si>
  <si>
    <t>metolazone</t>
  </si>
  <si>
    <t>C03BA08</t>
  </si>
  <si>
    <t xml:space="preserve">metronidazole </t>
  </si>
  <si>
    <t>J01XD01 </t>
  </si>
  <si>
    <t>methylprednisolone</t>
  </si>
  <si>
    <t>H02AB04</t>
  </si>
  <si>
    <t>metyrapone</t>
  </si>
  <si>
    <t>V04CD01</t>
  </si>
  <si>
    <t>J01FA03</t>
  </si>
  <si>
    <t>mixtard 30</t>
  </si>
  <si>
    <t>morphine</t>
  </si>
  <si>
    <t>N02AA01</t>
  </si>
  <si>
    <t xml:space="preserve">movicol </t>
  </si>
  <si>
    <t>A06AD15</t>
  </si>
  <si>
    <t>mucolytics</t>
  </si>
  <si>
    <t>R05CB</t>
  </si>
  <si>
    <t xml:space="preserve">multiple medications </t>
  </si>
  <si>
    <t>***</t>
  </si>
  <si>
    <t>naproxen</t>
  </si>
  <si>
    <t>M01AE02</t>
  </si>
  <si>
    <t>neuroleptics</t>
  </si>
  <si>
    <t>nimesulide</t>
  </si>
  <si>
    <t>M01AX17 </t>
  </si>
  <si>
    <t>nitrates</t>
  </si>
  <si>
    <t>C01DA</t>
  </si>
  <si>
    <t>nitrazepam</t>
  </si>
  <si>
    <t>N05CD02</t>
  </si>
  <si>
    <t xml:space="preserve">nitrogen mustard </t>
  </si>
  <si>
    <t>L01AA</t>
  </si>
  <si>
    <t>novomix 30</t>
  </si>
  <si>
    <t>A10AD05</t>
  </si>
  <si>
    <t>novorapid</t>
  </si>
  <si>
    <t>A10AB05</t>
  </si>
  <si>
    <t>NSAIDs</t>
  </si>
  <si>
    <t>M01A</t>
  </si>
  <si>
    <t>omeprazole</t>
  </si>
  <si>
    <t>A02BC01</t>
  </si>
  <si>
    <t>opioids</t>
  </si>
  <si>
    <t>N02A</t>
  </si>
  <si>
    <t>oral hypoglycaemic agents</t>
  </si>
  <si>
    <t>A10B</t>
  </si>
  <si>
    <t>others</t>
  </si>
  <si>
    <t>oxycodone</t>
  </si>
  <si>
    <t>N02AA05</t>
  </si>
  <si>
    <t>paracetamol</t>
  </si>
  <si>
    <t>N02BE01</t>
  </si>
  <si>
    <t xml:space="preserve">Pamidronate </t>
  </si>
  <si>
    <t>M05BA03 </t>
  </si>
  <si>
    <t xml:space="preserve">penicillin </t>
  </si>
  <si>
    <t xml:space="preserve">J01C </t>
  </si>
  <si>
    <t>penicillin depot</t>
  </si>
  <si>
    <t>J01C</t>
  </si>
  <si>
    <t>penicillin G</t>
  </si>
  <si>
    <t>J01CE08 </t>
  </si>
  <si>
    <t>penicillin V (phenoxymethylpenicillin)</t>
  </si>
  <si>
    <t>J01CE02</t>
  </si>
  <si>
    <t>perindopril</t>
  </si>
  <si>
    <t>C09AA04</t>
  </si>
  <si>
    <t xml:space="preserve">phenobarbital </t>
  </si>
  <si>
    <t>N03AA02 </t>
  </si>
  <si>
    <t>phosphate enema</t>
  </si>
  <si>
    <t xml:space="preserve">A06AG01 </t>
  </si>
  <si>
    <t>Potassium- sparing diuretics</t>
  </si>
  <si>
    <t>C03D</t>
  </si>
  <si>
    <t>potassium supplements</t>
  </si>
  <si>
    <t>A12BA</t>
  </si>
  <si>
    <t>prednisone</t>
  </si>
  <si>
    <t>H02AB07 </t>
  </si>
  <si>
    <t>prednisolone</t>
  </si>
  <si>
    <t>pregabalin</t>
  </si>
  <si>
    <t>N03AX16</t>
  </si>
  <si>
    <t xml:space="preserve">probenecid </t>
  </si>
  <si>
    <t>M04AB01</t>
  </si>
  <si>
    <t>prochlorperazine</t>
  </si>
  <si>
    <t>N05AB04 </t>
  </si>
  <si>
    <t>promazine</t>
  </si>
  <si>
    <t>N05AA03</t>
  </si>
  <si>
    <t>propanolol</t>
  </si>
  <si>
    <t>C07AA05 </t>
  </si>
  <si>
    <t>propulsives</t>
  </si>
  <si>
    <t xml:space="preserve">A03FA </t>
  </si>
  <si>
    <t>proton pump inhibitors</t>
  </si>
  <si>
    <t>A02BC</t>
  </si>
  <si>
    <t>psycholeptics</t>
  </si>
  <si>
    <t>N05</t>
  </si>
  <si>
    <t>psychotropics</t>
  </si>
  <si>
    <t>TBC ?N05</t>
  </si>
  <si>
    <t>quetiapine</t>
  </si>
  <si>
    <t>N05AH04 </t>
  </si>
  <si>
    <t>quinapril</t>
  </si>
  <si>
    <t>C09AA06</t>
  </si>
  <si>
    <t>ranitidine</t>
  </si>
  <si>
    <t>A02BA02 </t>
  </si>
  <si>
    <t xml:space="preserve">ramipril </t>
  </si>
  <si>
    <t>C09AA05 </t>
  </si>
  <si>
    <t>rifampicin</t>
  </si>
  <si>
    <t>J04AB02 </t>
  </si>
  <si>
    <t>risperidone</t>
  </si>
  <si>
    <t>N05AX08</t>
  </si>
  <si>
    <t>Salbutamol</t>
  </si>
  <si>
    <t>R03AC02</t>
  </si>
  <si>
    <t>salmeterol</t>
  </si>
  <si>
    <t>R03AC12 </t>
  </si>
  <si>
    <t>senna</t>
  </si>
  <si>
    <t>A06AB06 </t>
  </si>
  <si>
    <t>seretide</t>
  </si>
  <si>
    <t>R03AK06</t>
  </si>
  <si>
    <t>sertraline</t>
  </si>
  <si>
    <t>N06AB06 </t>
  </si>
  <si>
    <t>simvastatin</t>
  </si>
  <si>
    <t>C10AA01 </t>
  </si>
  <si>
    <t>Sodium citrate</t>
  </si>
  <si>
    <t>B05CB02</t>
  </si>
  <si>
    <t>solution for parentral nutrition</t>
  </si>
  <si>
    <t>B05BA</t>
  </si>
  <si>
    <t xml:space="preserve">spironolactone </t>
  </si>
  <si>
    <t>C03DA01</t>
  </si>
  <si>
    <t>SSRIs</t>
  </si>
  <si>
    <t>N06AB</t>
  </si>
  <si>
    <t>Statin</t>
  </si>
  <si>
    <t>C10AA</t>
  </si>
  <si>
    <t>streptomycin</t>
  </si>
  <si>
    <t>J01GA01</t>
  </si>
  <si>
    <t>streptokinase</t>
  </si>
  <si>
    <t>B01AD01</t>
  </si>
  <si>
    <t>sulbactam</t>
  </si>
  <si>
    <t>J01CG01</t>
  </si>
  <si>
    <t>Tamsulosin</t>
  </si>
  <si>
    <t>G04CA02 </t>
  </si>
  <si>
    <t>Teicoplanin</t>
  </si>
  <si>
    <t>J01XA02</t>
  </si>
  <si>
    <t xml:space="preserve">telmisartan </t>
  </si>
  <si>
    <t>C09CA07</t>
  </si>
  <si>
    <t>temazepam</t>
  </si>
  <si>
    <t>N05CD07</t>
  </si>
  <si>
    <t xml:space="preserve">tetracycline </t>
  </si>
  <si>
    <t>J01AA</t>
  </si>
  <si>
    <t>theophylline</t>
  </si>
  <si>
    <t>R03DA04</t>
  </si>
  <si>
    <t xml:space="preserve">thiazide diuretic </t>
  </si>
  <si>
    <t>C03A</t>
  </si>
  <si>
    <t xml:space="preserve">thioridazine </t>
  </si>
  <si>
    <t>N05AC02 </t>
  </si>
  <si>
    <t>ticlopidine</t>
  </si>
  <si>
    <t>B01AC05 </t>
  </si>
  <si>
    <t>tirofiban</t>
  </si>
  <si>
    <t>B01AC17</t>
  </si>
  <si>
    <t xml:space="preserve">tolbutamide </t>
  </si>
  <si>
    <t>A10BB03 </t>
  </si>
  <si>
    <t>tolterodine</t>
  </si>
  <si>
    <t>G04BD07 </t>
  </si>
  <si>
    <t>Topical Drug</t>
  </si>
  <si>
    <t>torasemide</t>
  </si>
  <si>
    <t>C03CA04</t>
  </si>
  <si>
    <t>trandolapril</t>
  </si>
  <si>
    <t>C09AA10</t>
  </si>
  <si>
    <t>tramadol</t>
  </si>
  <si>
    <t>N02AX02</t>
  </si>
  <si>
    <t>triamterene </t>
  </si>
  <si>
    <t>C03DB02</t>
  </si>
  <si>
    <t>trimethoprim</t>
  </si>
  <si>
    <t>J01EE01 </t>
  </si>
  <si>
    <t>Urologicals</t>
  </si>
  <si>
    <t>G04</t>
  </si>
  <si>
    <t xml:space="preserve">valsartan </t>
  </si>
  <si>
    <t>C09CA03</t>
  </si>
  <si>
    <t>Vancomycin</t>
  </si>
  <si>
    <t>J01XA01 </t>
  </si>
  <si>
    <t>A07AA09</t>
  </si>
  <si>
    <t>verapamil</t>
  </si>
  <si>
    <t>C08DA01</t>
  </si>
  <si>
    <t>warfarin</t>
  </si>
  <si>
    <t>B01AA03</t>
  </si>
  <si>
    <t>xanthines</t>
  </si>
  <si>
    <t>R03DA</t>
  </si>
  <si>
    <t>zoledronic acid</t>
  </si>
  <si>
    <t>M05BA08 </t>
  </si>
  <si>
    <t>Sum of all drugs per study</t>
  </si>
  <si>
    <t>KM_Done</t>
  </si>
  <si>
    <t>LOS ADR</t>
  </si>
  <si>
    <t>Median 22</t>
  </si>
  <si>
    <t>median 12</t>
  </si>
  <si>
    <t>ADR LOS +2 days</t>
  </si>
  <si>
    <t>SD LOS ADR</t>
  </si>
  <si>
    <t>95% CI LOS ADR</t>
  </si>
  <si>
    <t>17.2-20.1</t>
  </si>
  <si>
    <t>IQR 14-37</t>
  </si>
  <si>
    <t>IQR 6-17</t>
  </si>
  <si>
    <t>IQR 7-18</t>
  </si>
  <si>
    <t>IQR 10-26.5</t>
  </si>
  <si>
    <t>LOS non-ADR</t>
  </si>
  <si>
    <t>Median 10</t>
  </si>
  <si>
    <t>median 7</t>
  </si>
  <si>
    <t>95% CI LOS non-ADR</t>
  </si>
  <si>
    <t>11.9-12.3</t>
  </si>
  <si>
    <t>IQR 4-14</t>
  </si>
  <si>
    <t>IQR 5-13</t>
  </si>
  <si>
    <t>IQR 7-19</t>
  </si>
  <si>
    <t>Death</t>
  </si>
  <si>
    <t>9 (Control)</t>
  </si>
  <si>
    <t>29 (5.64%)</t>
  </si>
  <si>
    <t>17 (control)</t>
  </si>
  <si>
    <t>9 (12.2%) ADR</t>
  </si>
  <si>
    <t>3 pts died</t>
  </si>
  <si>
    <t>ADR related 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</si>
</sst>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1"/>
      <name val="Calibri"/>
      <family val="2"/>
      <scheme val="minor"/>
    </font>
    <font>
      <b/>
      <u/>
      <sz val="11"/>
      <color theme="1"/>
      <name val="Calibri"/>
      <family val="2"/>
      <scheme val="minor"/>
    </font>
    <font>
      <sz val="11"/>
      <color theme="1"/>
      <name val="Calibri"/>
      <family val="2"/>
    </font>
    <font>
      <i/>
      <sz val="11"/>
      <color theme="1"/>
      <name val="Calibri"/>
      <family val="2"/>
      <scheme val="minor"/>
    </font>
    <font>
      <b/>
      <u/>
      <sz val="11"/>
      <color theme="1"/>
      <name val="Calibri"/>
      <family val="2"/>
    </font>
    <font>
      <i/>
      <sz val="11"/>
      <color theme="1"/>
      <name val="Calibri"/>
      <family val="2"/>
    </font>
    <font>
      <i/>
      <sz val="9.35"/>
      <color theme="1"/>
      <name val="Calibri"/>
      <family val="2"/>
    </font>
    <font>
      <b/>
      <i/>
      <u/>
      <sz val="9.35"/>
      <color theme="1"/>
      <name val="Calibri"/>
      <family val="2"/>
    </font>
    <font>
      <b/>
      <i/>
      <sz val="11"/>
      <color theme="1"/>
      <name val="Calibri"/>
      <family val="2"/>
      <scheme val="minor"/>
    </font>
    <font>
      <sz val="9.35"/>
      <color theme="1"/>
      <name val="Calibri"/>
      <family val="2"/>
    </font>
    <font>
      <sz val="6"/>
      <color rgb="FF000000"/>
      <name val="Verdana"/>
      <family val="2"/>
    </font>
    <font>
      <sz val="11"/>
      <name val="Calibri"/>
      <family val="2"/>
      <scheme val="minor"/>
    </font>
    <font>
      <sz val="7"/>
      <color rgb="FF545454"/>
      <name val="Arial"/>
      <family val="2"/>
    </font>
    <font>
      <sz val="7"/>
      <color rgb="FF222222"/>
      <name val="Arial"/>
      <family val="2"/>
    </font>
    <font>
      <sz val="6"/>
      <color rgb="FF000000"/>
      <name val="Arial"/>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72">
    <xf numFmtId="0" fontId="0" fillId="0" borderId="0" xfId="0"/>
    <xf numFmtId="0" fontId="2" fillId="0" borderId="1" xfId="0" applyFont="1" applyBorder="1" applyAlignment="1">
      <alignment wrapText="1"/>
    </xf>
    <xf numFmtId="0" fontId="0" fillId="0" borderId="1" xfId="0" applyBorder="1" applyAlignment="1">
      <alignment vertical="center" wrapText="1"/>
    </xf>
    <xf numFmtId="0" fontId="0" fillId="2" borderId="1" xfId="0" applyFill="1" applyBorder="1" applyAlignment="1">
      <alignment vertical="center" wrapText="1"/>
    </xf>
    <xf numFmtId="0" fontId="0" fillId="2" borderId="1" xfId="0" applyFill="1" applyBorder="1" applyAlignment="1">
      <alignment wrapText="1"/>
    </xf>
    <xf numFmtId="0" fontId="0" fillId="0" borderId="1" xfId="0" applyBorder="1" applyAlignment="1">
      <alignment wrapText="1"/>
    </xf>
    <xf numFmtId="0" fontId="1" fillId="0" borderId="0" xfId="0" applyFont="1"/>
    <xf numFmtId="0" fontId="0" fillId="0" borderId="0" xfId="0" applyFill="1" applyBorder="1" applyAlignment="1">
      <alignment vertical="center" wrapText="1"/>
    </xf>
    <xf numFmtId="2" fontId="2" fillId="0" borderId="1" xfId="0" applyNumberFormat="1" applyFont="1" applyBorder="1" applyAlignment="1">
      <alignment wrapText="1"/>
    </xf>
    <xf numFmtId="0" fontId="1" fillId="0" borderId="1" xfId="0" applyFont="1" applyBorder="1" applyAlignment="1">
      <alignment wrapText="1"/>
    </xf>
    <xf numFmtId="0" fontId="2" fillId="0" borderId="1" xfId="0" applyFont="1" applyBorder="1"/>
    <xf numFmtId="2" fontId="0" fillId="0" borderId="1" xfId="0" applyNumberFormat="1" applyBorder="1" applyAlignment="1">
      <alignment wrapText="1"/>
    </xf>
    <xf numFmtId="0" fontId="0" fillId="0" borderId="1" xfId="0" applyBorder="1"/>
    <xf numFmtId="0" fontId="4" fillId="0" borderId="1" xfId="0" applyFont="1" applyBorder="1" applyAlignment="1">
      <alignment vertical="center" wrapText="1"/>
    </xf>
    <xf numFmtId="17" fontId="0" fillId="0" borderId="1" xfId="0" applyNumberFormat="1" applyBorder="1" applyAlignment="1">
      <alignment wrapText="1"/>
    </xf>
    <xf numFmtId="2" fontId="0" fillId="0" borderId="1" xfId="0" applyNumberFormat="1" applyBorder="1"/>
    <xf numFmtId="2" fontId="2" fillId="0" borderId="1" xfId="0" applyNumberFormat="1" applyFont="1" applyBorder="1"/>
    <xf numFmtId="0" fontId="5" fillId="0" borderId="1" xfId="0" applyFont="1" applyBorder="1"/>
    <xf numFmtId="0" fontId="2" fillId="0" borderId="0" xfId="0" applyFont="1"/>
    <xf numFmtId="0" fontId="0" fillId="2" borderId="2" xfId="0" applyFill="1" applyBorder="1" applyAlignment="1">
      <alignment vertical="center" wrapText="1"/>
    </xf>
    <xf numFmtId="0" fontId="0" fillId="0" borderId="2" xfId="0" applyBorder="1" applyAlignment="1">
      <alignment vertical="center" wrapText="1"/>
    </xf>
    <xf numFmtId="0" fontId="0" fillId="0" borderId="2" xfId="0" applyBorder="1"/>
    <xf numFmtId="2" fontId="0" fillId="0" borderId="2" xfId="0" applyNumberFormat="1" applyBorder="1"/>
    <xf numFmtId="0" fontId="0" fillId="0" borderId="2" xfId="0" applyBorder="1" applyAlignment="1">
      <alignment wrapText="1"/>
    </xf>
    <xf numFmtId="0" fontId="4" fillId="2" borderId="3" xfId="0" applyFont="1" applyFill="1" applyBorder="1" applyAlignment="1">
      <alignment vertical="center" wrapText="1"/>
    </xf>
    <xf numFmtId="0" fontId="4" fillId="0" borderId="4" xfId="0" applyFont="1" applyBorder="1" applyAlignment="1">
      <alignment vertical="center" wrapText="1"/>
    </xf>
    <xf numFmtId="0" fontId="4" fillId="0" borderId="4" xfId="0" applyFont="1" applyBorder="1"/>
    <xf numFmtId="2" fontId="4" fillId="0" borderId="4" xfId="0" applyNumberFormat="1" applyFont="1" applyBorder="1"/>
    <xf numFmtId="0" fontId="4" fillId="0" borderId="4" xfId="0" applyFont="1" applyBorder="1" applyAlignment="1">
      <alignment wrapText="1"/>
    </xf>
    <xf numFmtId="0" fontId="4" fillId="0" borderId="5" xfId="0" applyFont="1" applyBorder="1"/>
    <xf numFmtId="0" fontId="0" fillId="0" borderId="6" xfId="0" applyBorder="1" applyAlignment="1">
      <alignment vertical="center" wrapText="1"/>
    </xf>
    <xf numFmtId="0" fontId="0" fillId="0" borderId="6" xfId="0" applyBorder="1"/>
    <xf numFmtId="2" fontId="0" fillId="0" borderId="6" xfId="0" applyNumberFormat="1" applyBorder="1"/>
    <xf numFmtId="0" fontId="0" fillId="0" borderId="6" xfId="0" applyBorder="1" applyAlignment="1">
      <alignment wrapText="1"/>
    </xf>
    <xf numFmtId="2" fontId="9" fillId="0" borderId="1" xfId="0" applyNumberFormat="1" applyFont="1" applyBorder="1"/>
    <xf numFmtId="2" fontId="0" fillId="0" borderId="0" xfId="0" applyNumberFormat="1"/>
    <xf numFmtId="0" fontId="0" fillId="0" borderId="0" xfId="0" applyAlignment="1">
      <alignment wrapText="1"/>
    </xf>
    <xf numFmtId="0" fontId="1" fillId="0" borderId="0" xfId="0" applyFont="1" applyAlignment="1">
      <alignment wrapText="1"/>
    </xf>
    <xf numFmtId="9" fontId="0" fillId="0" borderId="0" xfId="0" applyNumberFormat="1"/>
    <xf numFmtId="0" fontId="2" fillId="0" borderId="0" xfId="0" applyFont="1" applyAlignment="1">
      <alignment wrapText="1"/>
    </xf>
    <xf numFmtId="0" fontId="0" fillId="0" borderId="0" xfId="0" applyAlignment="1">
      <alignment vertical="center" wrapText="1"/>
    </xf>
    <xf numFmtId="2" fontId="2" fillId="0" borderId="0" xfId="0" applyNumberFormat="1" applyFont="1" applyAlignment="1">
      <alignment wrapText="1"/>
    </xf>
    <xf numFmtId="1" fontId="0" fillId="0" borderId="0" xfId="0" applyNumberFormat="1"/>
    <xf numFmtId="49" fontId="2" fillId="0" borderId="0" xfId="0" applyNumberFormat="1" applyFont="1" applyAlignment="1">
      <alignment wrapText="1"/>
    </xf>
    <xf numFmtId="49" fontId="0" fillId="0" borderId="0" xfId="0" applyNumberFormat="1" applyAlignment="1">
      <alignment vertical="center" wrapText="1"/>
    </xf>
    <xf numFmtId="49" fontId="0" fillId="0" borderId="0" xfId="0" applyNumberFormat="1" applyAlignment="1">
      <alignment wrapText="1"/>
    </xf>
    <xf numFmtId="0" fontId="11" fillId="0" borderId="0" xfId="0" applyFont="1"/>
    <xf numFmtId="0" fontId="12" fillId="0" borderId="0" xfId="0" applyFont="1"/>
    <xf numFmtId="0" fontId="0" fillId="0" borderId="0" xfId="0" applyAlignment="1">
      <alignment vertical="center"/>
    </xf>
    <xf numFmtId="0" fontId="13" fillId="0" borderId="0" xfId="0" applyFont="1"/>
    <xf numFmtId="0" fontId="0" fillId="2" borderId="0" xfId="0" applyFill="1"/>
    <xf numFmtId="0" fontId="11" fillId="0" borderId="0" xfId="0" applyFont="1" applyAlignment="1">
      <alignment wrapText="1"/>
    </xf>
    <xf numFmtId="0" fontId="14" fillId="0" borderId="0" xfId="0" applyFont="1"/>
    <xf numFmtId="0" fontId="15" fillId="0" borderId="0" xfId="0" applyFont="1"/>
    <xf numFmtId="0" fontId="15" fillId="2" borderId="0" xfId="0" applyFont="1" applyFill="1"/>
    <xf numFmtId="0" fontId="0" fillId="0" borderId="0" xfId="0" applyAlignment="1">
      <alignment horizontal="left"/>
    </xf>
    <xf numFmtId="49" fontId="2" fillId="0" borderId="1" xfId="0" applyNumberFormat="1" applyFont="1" applyBorder="1" applyAlignment="1">
      <alignment wrapText="1"/>
    </xf>
    <xf numFmtId="49" fontId="0" fillId="0" borderId="1" xfId="0" applyNumberFormat="1" applyBorder="1" applyAlignment="1">
      <alignment vertical="center" wrapText="1"/>
    </xf>
    <xf numFmtId="49" fontId="0" fillId="0" borderId="1" xfId="0" applyNumberFormat="1" applyBorder="1" applyAlignment="1">
      <alignment wrapText="1"/>
    </xf>
    <xf numFmtId="16" fontId="0" fillId="0" borderId="0" xfId="0" applyNumberFormat="1"/>
    <xf numFmtId="0" fontId="0" fillId="0" borderId="7" xfId="0" applyFill="1" applyBorder="1"/>
    <xf numFmtId="2" fontId="0" fillId="0" borderId="7" xfId="0" applyNumberFormat="1" applyFill="1" applyBorder="1"/>
    <xf numFmtId="10" fontId="0" fillId="0" borderId="7" xfId="0" applyNumberFormat="1" applyFill="1" applyBorder="1"/>
    <xf numFmtId="49" fontId="0" fillId="0" borderId="7" xfId="0" applyNumberFormat="1" applyFill="1" applyBorder="1" applyAlignment="1">
      <alignment vertical="center" wrapText="1"/>
    </xf>
    <xf numFmtId="0" fontId="0" fillId="0" borderId="7" xfId="0" applyFill="1" applyBorder="1" applyAlignment="1">
      <alignment vertical="center" wrapText="1"/>
    </xf>
    <xf numFmtId="0" fontId="4" fillId="0" borderId="8" xfId="0" applyFont="1" applyFill="1" applyBorder="1" applyAlignment="1">
      <alignment wrapText="1"/>
    </xf>
    <xf numFmtId="17" fontId="0" fillId="0" borderId="1" xfId="0" applyNumberFormat="1" applyBorder="1"/>
    <xf numFmtId="0" fontId="1" fillId="0" borderId="1" xfId="0" applyFont="1" applyBorder="1"/>
    <xf numFmtId="0" fontId="3" fillId="0" borderId="1" xfId="0" applyFont="1" applyBorder="1"/>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6"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7</xdr:col>
      <xdr:colOff>542925</xdr:colOff>
      <xdr:row>9</xdr:row>
      <xdr:rowOff>15875</xdr:rowOff>
    </xdr:from>
    <xdr:ext cx="65" cy="172227"/>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029325" y="1489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8"/>
  <sheetViews>
    <sheetView topLeftCell="A11" workbookViewId="0">
      <selection activeCell="A3" sqref="A3:D3"/>
    </sheetView>
  </sheetViews>
  <sheetFormatPr defaultRowHeight="14.45"/>
  <cols>
    <col min="1" max="1" width="17.7109375" bestFit="1" customWidth="1"/>
    <col min="2" max="2" width="4.85546875" bestFit="1" customWidth="1"/>
    <col min="3" max="3" width="12.28515625" bestFit="1" customWidth="1"/>
    <col min="4" max="4" width="6.28515625" bestFit="1" customWidth="1"/>
  </cols>
  <sheetData>
    <row r="1" spans="1:4">
      <c r="A1" s="67" t="s">
        <v>0</v>
      </c>
      <c r="B1" s="67" t="s">
        <v>1</v>
      </c>
      <c r="C1" s="67" t="s">
        <v>2</v>
      </c>
      <c r="D1" s="6" t="s">
        <v>3</v>
      </c>
    </row>
    <row r="2" spans="1:4">
      <c r="A2" s="12" t="s">
        <v>4</v>
      </c>
      <c r="B2" s="12">
        <v>2018</v>
      </c>
      <c r="C2" s="68" t="s">
        <v>5</v>
      </c>
      <c r="D2" s="7">
        <v>2</v>
      </c>
    </row>
    <row r="3" spans="1:4">
      <c r="A3" s="12" t="s">
        <v>4</v>
      </c>
      <c r="B3" s="12">
        <v>2018</v>
      </c>
      <c r="C3" s="68" t="s">
        <v>5</v>
      </c>
      <c r="D3" s="7">
        <v>2</v>
      </c>
    </row>
    <row r="4" spans="1:4">
      <c r="A4" s="12" t="s">
        <v>6</v>
      </c>
      <c r="B4" s="12">
        <v>2012</v>
      </c>
      <c r="C4" s="68" t="s">
        <v>5</v>
      </c>
      <c r="D4" s="7">
        <v>1</v>
      </c>
    </row>
    <row r="5" spans="1:4">
      <c r="A5" s="12" t="s">
        <v>7</v>
      </c>
      <c r="B5" s="12">
        <v>2009</v>
      </c>
      <c r="C5" s="68" t="s">
        <v>5</v>
      </c>
      <c r="D5" s="7">
        <v>1</v>
      </c>
    </row>
    <row r="6" spans="1:4">
      <c r="A6" s="12" t="s">
        <v>8</v>
      </c>
      <c r="B6" s="12">
        <v>2011</v>
      </c>
      <c r="C6" s="68" t="s">
        <v>5</v>
      </c>
      <c r="D6" s="7">
        <v>1</v>
      </c>
    </row>
    <row r="7" spans="1:4">
      <c r="A7" s="12" t="s">
        <v>9</v>
      </c>
      <c r="B7" s="12">
        <v>2017</v>
      </c>
      <c r="C7" s="68" t="s">
        <v>5</v>
      </c>
      <c r="D7" s="7">
        <v>1</v>
      </c>
    </row>
    <row r="8" spans="1:4">
      <c r="A8" s="12" t="s">
        <v>10</v>
      </c>
      <c r="B8" s="12">
        <v>1986</v>
      </c>
      <c r="C8" s="68" t="s">
        <v>5</v>
      </c>
      <c r="D8" s="7">
        <v>1</v>
      </c>
    </row>
    <row r="9" spans="1:4">
      <c r="A9" s="12" t="s">
        <v>11</v>
      </c>
      <c r="B9" s="12">
        <v>2012</v>
      </c>
      <c r="C9" s="68" t="s">
        <v>5</v>
      </c>
      <c r="D9" s="7">
        <v>1</v>
      </c>
    </row>
    <row r="10" spans="1:4">
      <c r="A10" s="12" t="s">
        <v>11</v>
      </c>
      <c r="B10" s="12">
        <v>2016</v>
      </c>
      <c r="C10" s="68" t="s">
        <v>5</v>
      </c>
      <c r="D10" s="7">
        <v>1</v>
      </c>
    </row>
    <row r="11" spans="1:4">
      <c r="A11" s="12" t="s">
        <v>12</v>
      </c>
      <c r="B11" s="12">
        <v>2010</v>
      </c>
      <c r="C11" s="68" t="s">
        <v>5</v>
      </c>
      <c r="D11" s="7">
        <v>1</v>
      </c>
    </row>
    <row r="12" spans="1:4">
      <c r="A12" s="12" t="s">
        <v>13</v>
      </c>
      <c r="B12" s="12">
        <v>2016</v>
      </c>
      <c r="C12" s="68" t="s">
        <v>5</v>
      </c>
      <c r="D12" s="7">
        <v>1</v>
      </c>
    </row>
    <row r="13" spans="1:4">
      <c r="A13" s="12" t="s">
        <v>14</v>
      </c>
      <c r="B13" s="12">
        <v>1965</v>
      </c>
      <c r="C13" s="68" t="s">
        <v>5</v>
      </c>
      <c r="D13" s="7">
        <v>1</v>
      </c>
    </row>
    <row r="14" spans="1:4">
      <c r="A14" s="12" t="s">
        <v>15</v>
      </c>
      <c r="B14" s="12">
        <v>2012</v>
      </c>
      <c r="C14" s="68" t="s">
        <v>5</v>
      </c>
      <c r="D14" s="7">
        <v>1</v>
      </c>
    </row>
    <row r="15" spans="1:4">
      <c r="A15" s="12" t="s">
        <v>15</v>
      </c>
      <c r="B15" s="12">
        <v>2014</v>
      </c>
      <c r="C15" s="68" t="s">
        <v>5</v>
      </c>
      <c r="D15" s="7">
        <v>1</v>
      </c>
    </row>
    <row r="16" spans="1:4">
      <c r="A16" s="12" t="s">
        <v>16</v>
      </c>
      <c r="B16" s="12">
        <v>2009</v>
      </c>
      <c r="C16" s="12" t="s">
        <v>17</v>
      </c>
      <c r="D16" s="7">
        <v>1</v>
      </c>
    </row>
    <row r="17" spans="1:4">
      <c r="A17" s="12" t="s">
        <v>18</v>
      </c>
      <c r="B17" s="12">
        <v>1996</v>
      </c>
      <c r="C17" s="12" t="s">
        <v>17</v>
      </c>
      <c r="D17" s="7">
        <v>1</v>
      </c>
    </row>
    <row r="18" spans="1:4">
      <c r="A18" s="12" t="s">
        <v>19</v>
      </c>
      <c r="B18" s="12">
        <v>2010</v>
      </c>
      <c r="C18" s="12" t="s">
        <v>17</v>
      </c>
      <c r="D18" s="7">
        <v>1</v>
      </c>
    </row>
    <row r="19" spans="1:4">
      <c r="A19" s="12" t="s">
        <v>20</v>
      </c>
      <c r="B19" s="12">
        <v>2009</v>
      </c>
      <c r="C19" s="12" t="s">
        <v>17</v>
      </c>
      <c r="D19" s="7">
        <v>1</v>
      </c>
    </row>
    <row r="20" spans="1:4">
      <c r="A20" s="12" t="s">
        <v>21</v>
      </c>
      <c r="B20" s="12">
        <v>2016</v>
      </c>
      <c r="C20" s="12" t="s">
        <v>17</v>
      </c>
      <c r="D20" s="7">
        <v>1</v>
      </c>
    </row>
    <row r="21" spans="1:4">
      <c r="A21" s="12" t="s">
        <v>21</v>
      </c>
      <c r="B21" s="12">
        <v>2013</v>
      </c>
      <c r="C21" s="12" t="s">
        <v>17</v>
      </c>
      <c r="D21" s="7">
        <v>1</v>
      </c>
    </row>
    <row r="22" spans="1:4" ht="14.45" customHeight="1">
      <c r="A22" s="12" t="s">
        <v>22</v>
      </c>
      <c r="B22" s="12">
        <v>2007</v>
      </c>
      <c r="C22" s="12" t="s">
        <v>17</v>
      </c>
      <c r="D22" s="7">
        <v>1</v>
      </c>
    </row>
    <row r="23" spans="1:4">
      <c r="A23" s="12" t="s">
        <v>23</v>
      </c>
      <c r="B23" s="12">
        <v>2018</v>
      </c>
      <c r="C23" s="68" t="s">
        <v>17</v>
      </c>
      <c r="D23" s="7">
        <v>2</v>
      </c>
    </row>
    <row r="24" spans="1:4">
      <c r="A24" s="12" t="s">
        <v>24</v>
      </c>
      <c r="B24" s="12">
        <v>1997</v>
      </c>
      <c r="C24" s="12" t="s">
        <v>17</v>
      </c>
      <c r="D24" s="7">
        <v>1</v>
      </c>
    </row>
    <row r="25" spans="1:4">
      <c r="A25" s="12" t="s">
        <v>25</v>
      </c>
      <c r="B25" s="12">
        <v>2011</v>
      </c>
      <c r="C25" s="12" t="s">
        <v>17</v>
      </c>
      <c r="D25" s="7">
        <v>1</v>
      </c>
    </row>
    <row r="26" spans="1:4">
      <c r="A26" s="12" t="s">
        <v>26</v>
      </c>
      <c r="B26" s="12">
        <v>2018</v>
      </c>
      <c r="C26" s="68" t="s">
        <v>17</v>
      </c>
      <c r="D26" s="7">
        <v>2</v>
      </c>
    </row>
    <row r="27" spans="1:4">
      <c r="A27" s="12" t="s">
        <v>27</v>
      </c>
      <c r="B27" s="12">
        <v>2010</v>
      </c>
      <c r="C27" s="12" t="s">
        <v>17</v>
      </c>
      <c r="D27" s="7">
        <v>1</v>
      </c>
    </row>
    <row r="28" spans="1:4">
      <c r="A28" s="12" t="s">
        <v>28</v>
      </c>
      <c r="B28" s="12">
        <v>2015</v>
      </c>
      <c r="C28" s="12" t="s">
        <v>17</v>
      </c>
      <c r="D28" s="7">
        <v>1</v>
      </c>
    </row>
  </sheetData>
  <sortState ref="A2:D27">
    <sortCondition ref="C1"/>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tabSelected="1" workbookViewId="0">
      <selection activeCell="J9" sqref="J9"/>
    </sheetView>
  </sheetViews>
  <sheetFormatPr defaultColWidth="10" defaultRowHeight="14.45"/>
  <cols>
    <col min="1" max="1" width="18" bestFit="1" customWidth="1"/>
  </cols>
  <sheetData>
    <row r="1" spans="1:10" ht="29.1">
      <c r="A1" s="56" t="s">
        <v>0</v>
      </c>
      <c r="B1" s="57" t="s">
        <v>6</v>
      </c>
      <c r="C1" s="57" t="s">
        <v>20</v>
      </c>
      <c r="D1" s="57" t="s">
        <v>21</v>
      </c>
      <c r="E1" s="57" t="s">
        <v>11</v>
      </c>
      <c r="F1" s="57" t="s">
        <v>11</v>
      </c>
      <c r="G1" s="57" t="s">
        <v>13</v>
      </c>
      <c r="H1" s="57" t="s">
        <v>15</v>
      </c>
      <c r="I1" s="58" t="s">
        <v>15</v>
      </c>
      <c r="J1" s="63" t="s">
        <v>26</v>
      </c>
    </row>
    <row r="2" spans="1:10">
      <c r="A2" s="1" t="s">
        <v>1</v>
      </c>
      <c r="B2" s="2">
        <v>2012</v>
      </c>
      <c r="C2" s="2">
        <v>2009</v>
      </c>
      <c r="D2" s="2">
        <v>2013</v>
      </c>
      <c r="E2" s="2">
        <v>2016</v>
      </c>
      <c r="F2" s="2">
        <v>2012</v>
      </c>
      <c r="G2" s="2">
        <v>2016</v>
      </c>
      <c r="H2" s="2">
        <v>2012</v>
      </c>
      <c r="I2" s="5">
        <v>2014</v>
      </c>
      <c r="J2" s="64">
        <v>2018</v>
      </c>
    </row>
    <row r="3" spans="1:10">
      <c r="A3" t="s">
        <v>844</v>
      </c>
      <c r="B3">
        <v>18.7</v>
      </c>
      <c r="C3" t="s">
        <v>845</v>
      </c>
      <c r="D3">
        <v>9.1999999999999993</v>
      </c>
      <c r="E3">
        <v>10</v>
      </c>
      <c r="F3" t="s">
        <v>846</v>
      </c>
      <c r="G3">
        <v>77</v>
      </c>
      <c r="H3">
        <v>14</v>
      </c>
      <c r="J3" t="s">
        <v>847</v>
      </c>
    </row>
    <row r="4" spans="1:10">
      <c r="A4" t="s">
        <v>848</v>
      </c>
      <c r="D4">
        <v>3.4</v>
      </c>
    </row>
    <row r="5" spans="1:10">
      <c r="A5" t="s">
        <v>849</v>
      </c>
      <c r="B5" t="s">
        <v>850</v>
      </c>
      <c r="C5" t="s">
        <v>851</v>
      </c>
      <c r="E5" s="59" t="s">
        <v>852</v>
      </c>
      <c r="G5" t="s">
        <v>853</v>
      </c>
      <c r="H5" t="s">
        <v>854</v>
      </c>
    </row>
    <row r="6" spans="1:10">
      <c r="A6" t="s">
        <v>855</v>
      </c>
      <c r="B6">
        <v>12.6</v>
      </c>
      <c r="C6" t="s">
        <v>856</v>
      </c>
      <c r="E6">
        <v>7</v>
      </c>
      <c r="F6" t="s">
        <v>857</v>
      </c>
      <c r="G6">
        <v>8</v>
      </c>
      <c r="H6">
        <v>12</v>
      </c>
    </row>
    <row r="7" spans="1:10">
      <c r="A7" t="s">
        <v>858</v>
      </c>
      <c r="B7" t="s">
        <v>859</v>
      </c>
      <c r="C7" t="s">
        <v>852</v>
      </c>
      <c r="E7" s="59" t="s">
        <v>860</v>
      </c>
      <c r="G7" t="s">
        <v>861</v>
      </c>
      <c r="H7" t="s">
        <v>862</v>
      </c>
    </row>
    <row r="8" spans="1:10">
      <c r="A8" t="s">
        <v>863</v>
      </c>
      <c r="C8">
        <v>165</v>
      </c>
      <c r="E8" t="s">
        <v>864</v>
      </c>
      <c r="F8" t="s">
        <v>865</v>
      </c>
      <c r="G8" t="s">
        <v>866</v>
      </c>
      <c r="H8" t="s">
        <v>867</v>
      </c>
      <c r="J8" t="s">
        <v>868</v>
      </c>
    </row>
    <row r="9" spans="1:10">
      <c r="A9" t="s">
        <v>869</v>
      </c>
      <c r="C9">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6"/>
  <sheetViews>
    <sheetView workbookViewId="0">
      <pane ySplit="1" topLeftCell="A18" activePane="bottomLeft" state="frozen"/>
      <selection pane="bottomLeft" activeCell="V2" sqref="V2"/>
    </sheetView>
  </sheetViews>
  <sheetFormatPr defaultRowHeight="14.45"/>
  <cols>
    <col min="1" max="1" width="23.140625" customWidth="1"/>
    <col min="2" max="2" width="6" customWidth="1"/>
    <col min="3" max="3" width="6.5703125" bestFit="1" customWidth="1"/>
    <col min="4" max="4" width="13.5703125" bestFit="1" customWidth="1"/>
    <col min="5" max="5" width="8.5703125" style="35" bestFit="1" customWidth="1"/>
    <col min="6" max="6" width="6.28515625" bestFit="1" customWidth="1"/>
    <col min="7" max="7" width="11.42578125" bestFit="1" customWidth="1"/>
    <col min="8" max="8" width="12.42578125" style="35" bestFit="1" customWidth="1"/>
    <col min="9" max="9" width="8" customWidth="1"/>
    <col min="10" max="10" width="9.5703125" style="35" bestFit="1" customWidth="1"/>
    <col min="11" max="11" width="36.5703125" style="36" customWidth="1"/>
  </cols>
  <sheetData>
    <row r="1" spans="1:15" s="18" customFormat="1">
      <c r="A1" s="1" t="s">
        <v>0</v>
      </c>
      <c r="B1" s="1" t="s">
        <v>1</v>
      </c>
      <c r="C1" s="10" t="s">
        <v>29</v>
      </c>
      <c r="D1" s="10" t="s">
        <v>30</v>
      </c>
      <c r="E1" s="16" t="s">
        <v>31</v>
      </c>
      <c r="F1" s="10" t="s">
        <v>32</v>
      </c>
      <c r="G1" s="17" t="s">
        <v>33</v>
      </c>
      <c r="H1" s="16" t="s">
        <v>34</v>
      </c>
      <c r="I1" s="10" t="s">
        <v>35</v>
      </c>
      <c r="J1" s="16" t="s">
        <v>36</v>
      </c>
      <c r="K1" s="1"/>
      <c r="N1" s="6" t="s">
        <v>0</v>
      </c>
      <c r="O1" s="6" t="s">
        <v>37</v>
      </c>
    </row>
    <row r="2" spans="1:15">
      <c r="A2" s="2" t="s">
        <v>16</v>
      </c>
      <c r="B2" s="2">
        <v>2009</v>
      </c>
      <c r="C2" s="12">
        <v>270</v>
      </c>
      <c r="D2" s="12">
        <v>20</v>
      </c>
      <c r="E2" s="15">
        <f>(D2/C2)*100</f>
        <v>7.4074074074074066</v>
      </c>
      <c r="F2" s="12">
        <v>97</v>
      </c>
      <c r="G2" s="12">
        <v>7</v>
      </c>
      <c r="H2" s="15">
        <f>(G2/F2)*100</f>
        <v>7.216494845360824</v>
      </c>
      <c r="I2" s="12"/>
      <c r="J2" s="15">
        <f>(F2/C2)*100</f>
        <v>35.925925925925931</v>
      </c>
      <c r="K2" s="5"/>
      <c r="N2" t="s">
        <v>16</v>
      </c>
      <c r="O2">
        <v>7.216494845360824</v>
      </c>
    </row>
    <row r="3" spans="1:15">
      <c r="A3" s="2" t="s">
        <v>38</v>
      </c>
      <c r="B3" s="2">
        <v>1996</v>
      </c>
      <c r="C3" s="12">
        <v>1024</v>
      </c>
      <c r="D3" s="12">
        <v>237</v>
      </c>
      <c r="E3" s="15">
        <f>(D3/C3)*100</f>
        <v>23.14453125</v>
      </c>
      <c r="F3" s="12">
        <v>301</v>
      </c>
      <c r="G3" s="12">
        <v>89</v>
      </c>
      <c r="H3" s="15">
        <f>(G3/F3)*100</f>
        <v>29.568106312292358</v>
      </c>
      <c r="I3" s="12"/>
      <c r="J3" s="15">
        <f t="shared" ref="J3:J23" si="0">(F3/C3)*100</f>
        <v>29.39453125</v>
      </c>
      <c r="K3" s="5"/>
      <c r="N3" t="s">
        <v>38</v>
      </c>
      <c r="O3">
        <v>29.568106312292358</v>
      </c>
    </row>
    <row r="4" spans="1:15">
      <c r="A4" s="2" t="s">
        <v>19</v>
      </c>
      <c r="B4" s="2">
        <v>2010</v>
      </c>
      <c r="C4" s="12">
        <v>104</v>
      </c>
      <c r="D4" s="12">
        <v>26</v>
      </c>
      <c r="E4" s="15">
        <f t="shared" ref="E4:E16" si="1">(D4/C4)*100</f>
        <v>25</v>
      </c>
      <c r="F4" s="12">
        <v>48</v>
      </c>
      <c r="G4" s="12">
        <v>11</v>
      </c>
      <c r="H4" s="15">
        <f t="shared" ref="H4:H26" si="2">(G4/F4)*100</f>
        <v>22.916666666666664</v>
      </c>
      <c r="I4" s="12"/>
      <c r="J4" s="15">
        <f t="shared" si="0"/>
        <v>46.153846153846153</v>
      </c>
      <c r="K4" s="5"/>
      <c r="N4" t="s">
        <v>19</v>
      </c>
      <c r="O4">
        <v>22.916666666666664</v>
      </c>
    </row>
    <row r="5" spans="1:15">
      <c r="A5" s="3" t="s">
        <v>6</v>
      </c>
      <c r="B5" s="2">
        <v>2012</v>
      </c>
      <c r="C5" s="12">
        <v>1023</v>
      </c>
      <c r="D5" s="12">
        <v>256</v>
      </c>
      <c r="E5" s="15">
        <f t="shared" si="1"/>
        <v>25.024437927663733</v>
      </c>
      <c r="F5" s="12">
        <v>1023</v>
      </c>
      <c r="G5" s="12">
        <v>256</v>
      </c>
      <c r="H5" s="15">
        <f t="shared" si="2"/>
        <v>25.024437927663733</v>
      </c>
      <c r="I5" s="12" t="s">
        <v>39</v>
      </c>
      <c r="J5" s="15">
        <f t="shared" si="0"/>
        <v>100</v>
      </c>
      <c r="K5" s="5"/>
      <c r="N5" t="s">
        <v>6</v>
      </c>
      <c r="O5">
        <v>25.024437927663733</v>
      </c>
    </row>
    <row r="6" spans="1:15">
      <c r="A6" s="3" t="s">
        <v>7</v>
      </c>
      <c r="B6" s="2">
        <v>2009</v>
      </c>
      <c r="C6" s="12">
        <v>506</v>
      </c>
      <c r="D6" s="12">
        <v>58</v>
      </c>
      <c r="E6" s="15">
        <f t="shared" si="1"/>
        <v>11.462450592885375</v>
      </c>
      <c r="F6" s="12">
        <v>506</v>
      </c>
      <c r="G6" s="12">
        <v>58</v>
      </c>
      <c r="H6" s="15">
        <f t="shared" si="2"/>
        <v>11.462450592885375</v>
      </c>
      <c r="I6" s="12" t="s">
        <v>39</v>
      </c>
      <c r="J6" s="15">
        <f t="shared" si="0"/>
        <v>100</v>
      </c>
      <c r="K6" s="5"/>
      <c r="N6" t="s">
        <v>7</v>
      </c>
      <c r="O6">
        <v>11.462450592885375</v>
      </c>
    </row>
    <row r="7" spans="1:15">
      <c r="A7" s="2" t="s">
        <v>20</v>
      </c>
      <c r="B7" s="2">
        <v>2009</v>
      </c>
      <c r="C7" s="12">
        <v>3322</v>
      </c>
      <c r="D7" s="12">
        <v>545</v>
      </c>
      <c r="E7" s="15">
        <f t="shared" si="1"/>
        <v>16.405779650812764</v>
      </c>
      <c r="F7" s="12">
        <v>1787</v>
      </c>
      <c r="G7" s="12">
        <v>328</v>
      </c>
      <c r="H7" s="15">
        <f t="shared" si="2"/>
        <v>18.354784555120311</v>
      </c>
      <c r="I7" s="12"/>
      <c r="J7" s="15">
        <f t="shared" si="0"/>
        <v>53.792895845875975</v>
      </c>
      <c r="K7" s="5"/>
      <c r="N7" t="s">
        <v>20</v>
      </c>
      <c r="O7">
        <v>18.354784555120311</v>
      </c>
    </row>
    <row r="8" spans="1:15">
      <c r="A8" s="3" t="s">
        <v>8</v>
      </c>
      <c r="B8" s="2">
        <v>2011</v>
      </c>
      <c r="C8" s="12">
        <v>97</v>
      </c>
      <c r="D8" s="12">
        <v>12</v>
      </c>
      <c r="E8" s="15">
        <f t="shared" si="1"/>
        <v>12.371134020618557</v>
      </c>
      <c r="F8" s="12">
        <v>97</v>
      </c>
      <c r="G8" s="12">
        <v>12</v>
      </c>
      <c r="H8" s="15">
        <f t="shared" si="2"/>
        <v>12.371134020618557</v>
      </c>
      <c r="I8" s="12" t="s">
        <v>39</v>
      </c>
      <c r="J8" s="15">
        <f t="shared" si="0"/>
        <v>100</v>
      </c>
      <c r="K8" s="5"/>
      <c r="N8" t="s">
        <v>8</v>
      </c>
      <c r="O8">
        <v>12.371134020618557</v>
      </c>
    </row>
    <row r="9" spans="1:15">
      <c r="A9" s="2" t="s">
        <v>21</v>
      </c>
      <c r="B9" s="2">
        <v>2013</v>
      </c>
      <c r="C9" s="12">
        <v>674</v>
      </c>
      <c r="D9" s="12">
        <v>42</v>
      </c>
      <c r="E9" s="15">
        <f t="shared" si="1"/>
        <v>6.2314540059347179</v>
      </c>
      <c r="F9" s="12">
        <v>203</v>
      </c>
      <c r="G9" s="12">
        <v>19</v>
      </c>
      <c r="H9" s="15">
        <f t="shared" si="2"/>
        <v>9.3596059113300498</v>
      </c>
      <c r="I9" s="12"/>
      <c r="J9" s="15">
        <f t="shared" si="0"/>
        <v>30.118694362017806</v>
      </c>
      <c r="K9" s="5"/>
      <c r="N9" t="s">
        <v>21</v>
      </c>
      <c r="O9">
        <v>9.3596059113300498</v>
      </c>
    </row>
    <row r="10" spans="1:15">
      <c r="A10" s="2" t="s">
        <v>21</v>
      </c>
      <c r="B10" s="2">
        <v>2016</v>
      </c>
      <c r="C10" s="12">
        <v>750</v>
      </c>
      <c r="D10" s="12">
        <v>22</v>
      </c>
      <c r="E10" s="15">
        <f t="shared" si="1"/>
        <v>2.9333333333333331</v>
      </c>
      <c r="F10" s="12">
        <v>222</v>
      </c>
      <c r="G10" s="12">
        <v>11</v>
      </c>
      <c r="H10" s="15">
        <f t="shared" si="2"/>
        <v>4.954954954954955</v>
      </c>
      <c r="I10" s="12"/>
      <c r="J10" s="15">
        <f t="shared" si="0"/>
        <v>29.599999999999998</v>
      </c>
      <c r="K10" s="5"/>
      <c r="N10" t="s">
        <v>21</v>
      </c>
      <c r="O10">
        <v>4.954954954954955</v>
      </c>
    </row>
    <row r="11" spans="1:15">
      <c r="A11" s="2" t="s">
        <v>22</v>
      </c>
      <c r="B11" s="2">
        <v>2007</v>
      </c>
      <c r="C11" s="12">
        <v>1041</v>
      </c>
      <c r="D11" s="12">
        <v>81</v>
      </c>
      <c r="E11" s="15">
        <f t="shared" si="1"/>
        <v>7.7809798270893378</v>
      </c>
      <c r="F11" s="12">
        <v>244</v>
      </c>
      <c r="G11" s="12">
        <v>15</v>
      </c>
      <c r="H11" s="15">
        <f t="shared" si="2"/>
        <v>6.1475409836065573</v>
      </c>
      <c r="I11" s="12"/>
      <c r="J11" s="15">
        <f t="shared" si="0"/>
        <v>23.439000960614795</v>
      </c>
      <c r="K11" s="5"/>
      <c r="N11" t="s">
        <v>22</v>
      </c>
      <c r="O11">
        <v>6.1475409836065573</v>
      </c>
    </row>
    <row r="12" spans="1:15">
      <c r="A12" s="2" t="s">
        <v>24</v>
      </c>
      <c r="B12" s="2">
        <v>1997</v>
      </c>
      <c r="C12" s="12">
        <v>201</v>
      </c>
      <c r="D12" s="12">
        <v>58</v>
      </c>
      <c r="E12" s="15">
        <f t="shared" si="1"/>
        <v>28.855721393034827</v>
      </c>
      <c r="F12" s="12">
        <v>106</v>
      </c>
      <c r="G12" s="12">
        <v>35</v>
      </c>
      <c r="H12" s="15">
        <f t="shared" si="2"/>
        <v>33.018867924528301</v>
      </c>
      <c r="I12" s="12"/>
      <c r="J12" s="15">
        <f t="shared" si="0"/>
        <v>52.736318407960205</v>
      </c>
      <c r="K12" s="5"/>
      <c r="N12" t="s">
        <v>24</v>
      </c>
      <c r="O12">
        <v>33.018867924528301</v>
      </c>
    </row>
    <row r="13" spans="1:15" ht="29.1">
      <c r="A13" s="2" t="s">
        <v>25</v>
      </c>
      <c r="B13" s="2">
        <v>2011</v>
      </c>
      <c r="C13" s="12">
        <v>920</v>
      </c>
      <c r="D13" s="12">
        <v>296</v>
      </c>
      <c r="E13" s="15">
        <f t="shared" si="1"/>
        <v>32.173913043478258</v>
      </c>
      <c r="F13" s="12">
        <v>370</v>
      </c>
      <c r="G13" s="12">
        <v>112</v>
      </c>
      <c r="H13" s="15">
        <f t="shared" si="2"/>
        <v>30.270270270270274</v>
      </c>
      <c r="I13" s="12"/>
      <c r="J13" s="15">
        <f t="shared" si="0"/>
        <v>40.217391304347828</v>
      </c>
      <c r="K13" s="5" t="s">
        <v>40</v>
      </c>
      <c r="N13" t="s">
        <v>25</v>
      </c>
      <c r="O13">
        <v>30.270270270270274</v>
      </c>
    </row>
    <row r="14" spans="1:15">
      <c r="A14" s="3" t="s">
        <v>9</v>
      </c>
      <c r="B14" s="2">
        <v>2017</v>
      </c>
      <c r="C14" s="12">
        <v>644</v>
      </c>
      <c r="D14" s="12">
        <v>139</v>
      </c>
      <c r="E14" s="15">
        <f t="shared" si="1"/>
        <v>21.583850931677016</v>
      </c>
      <c r="F14" s="12">
        <v>644</v>
      </c>
      <c r="G14" s="12">
        <v>139</v>
      </c>
      <c r="H14" s="15">
        <f t="shared" si="2"/>
        <v>21.583850931677016</v>
      </c>
      <c r="I14" s="12" t="s">
        <v>39</v>
      </c>
      <c r="J14" s="15">
        <f t="shared" si="0"/>
        <v>100</v>
      </c>
      <c r="K14" s="5"/>
      <c r="N14" t="s">
        <v>9</v>
      </c>
      <c r="O14">
        <v>21.583850931677016</v>
      </c>
    </row>
    <row r="15" spans="1:15" ht="29.1">
      <c r="A15" s="3" t="s">
        <v>10</v>
      </c>
      <c r="B15" s="2">
        <v>1986</v>
      </c>
      <c r="C15" s="12">
        <v>500</v>
      </c>
      <c r="D15" s="12">
        <v>94</v>
      </c>
      <c r="E15" s="15">
        <f t="shared" si="1"/>
        <v>18.8</v>
      </c>
      <c r="F15" s="12">
        <v>500</v>
      </c>
      <c r="G15" s="12">
        <v>94</v>
      </c>
      <c r="H15" s="15">
        <f t="shared" si="2"/>
        <v>18.8</v>
      </c>
      <c r="I15" s="12" t="s">
        <v>39</v>
      </c>
      <c r="J15" s="15">
        <f t="shared" si="0"/>
        <v>100</v>
      </c>
      <c r="K15" s="5" t="s">
        <v>41</v>
      </c>
      <c r="N15" t="s">
        <v>10</v>
      </c>
      <c r="O15">
        <v>18.8</v>
      </c>
    </row>
    <row r="16" spans="1:15" ht="29.1">
      <c r="A16" s="2" t="s">
        <v>27</v>
      </c>
      <c r="B16" s="2">
        <v>2010</v>
      </c>
      <c r="C16" s="12">
        <v>677</v>
      </c>
      <c r="D16" s="12">
        <v>164</v>
      </c>
      <c r="E16" s="15">
        <f t="shared" si="1"/>
        <v>24.224519940915805</v>
      </c>
      <c r="F16" s="12">
        <v>204</v>
      </c>
      <c r="G16" s="12">
        <v>46</v>
      </c>
      <c r="H16" s="15">
        <f t="shared" si="2"/>
        <v>22.549019607843139</v>
      </c>
      <c r="I16" s="12"/>
      <c r="J16" s="15">
        <f t="shared" si="0"/>
        <v>30.132939438700145</v>
      </c>
      <c r="K16" s="5" t="s">
        <v>42</v>
      </c>
      <c r="N16" t="s">
        <v>27</v>
      </c>
      <c r="O16">
        <v>22.549019607843139</v>
      </c>
    </row>
    <row r="17" spans="1:15">
      <c r="A17" s="2" t="s">
        <v>28</v>
      </c>
      <c r="B17" s="2">
        <v>2015</v>
      </c>
      <c r="C17" s="12">
        <v>200</v>
      </c>
      <c r="D17" s="12">
        <v>66</v>
      </c>
      <c r="E17" s="15">
        <f>(D17/C17)*100</f>
        <v>33</v>
      </c>
      <c r="F17" s="12">
        <v>64</v>
      </c>
      <c r="G17" s="12">
        <v>27</v>
      </c>
      <c r="H17" s="15">
        <f t="shared" si="2"/>
        <v>42.1875</v>
      </c>
      <c r="I17" s="12"/>
      <c r="J17" s="15">
        <f t="shared" si="0"/>
        <v>32</v>
      </c>
      <c r="K17" s="5"/>
      <c r="N17" t="s">
        <v>28</v>
      </c>
      <c r="O17">
        <v>42.1875</v>
      </c>
    </row>
    <row r="18" spans="1:15">
      <c r="A18" s="3" t="s">
        <v>11</v>
      </c>
      <c r="B18" s="2">
        <v>2012</v>
      </c>
      <c r="C18" s="12">
        <v>513</v>
      </c>
      <c r="D18" s="12">
        <v>135</v>
      </c>
      <c r="E18" s="15">
        <f t="shared" ref="E18:E27" si="3">(D18/C18)*100</f>
        <v>26.315789473684209</v>
      </c>
      <c r="F18" s="12">
        <v>513</v>
      </c>
      <c r="G18" s="12">
        <v>135</v>
      </c>
      <c r="H18" s="15">
        <f t="shared" si="2"/>
        <v>26.315789473684209</v>
      </c>
      <c r="I18" s="12" t="s">
        <v>39</v>
      </c>
      <c r="J18" s="15">
        <f t="shared" si="0"/>
        <v>100</v>
      </c>
      <c r="K18" s="5"/>
      <c r="N18" t="s">
        <v>11</v>
      </c>
      <c r="O18">
        <v>26.315789473684209</v>
      </c>
    </row>
    <row r="19" spans="1:15">
      <c r="A19" s="3" t="s">
        <v>11</v>
      </c>
      <c r="B19" s="2">
        <v>2016</v>
      </c>
      <c r="C19" s="12">
        <v>372</v>
      </c>
      <c r="D19" s="12">
        <v>78</v>
      </c>
      <c r="E19" s="15">
        <f t="shared" si="3"/>
        <v>20.967741935483872</v>
      </c>
      <c r="F19" s="12">
        <v>372</v>
      </c>
      <c r="G19" s="12">
        <v>78</v>
      </c>
      <c r="H19" s="15">
        <f t="shared" si="2"/>
        <v>20.967741935483872</v>
      </c>
      <c r="I19" s="12" t="s">
        <v>39</v>
      </c>
      <c r="J19" s="15">
        <f t="shared" si="0"/>
        <v>100</v>
      </c>
      <c r="K19" s="5"/>
      <c r="N19" t="s">
        <v>11</v>
      </c>
      <c r="O19">
        <v>20.967741935483872</v>
      </c>
    </row>
    <row r="20" spans="1:15">
      <c r="A20" s="4" t="s">
        <v>12</v>
      </c>
      <c r="B20" s="5">
        <v>2010</v>
      </c>
      <c r="C20" s="12">
        <f>5936+483</f>
        <v>6419</v>
      </c>
      <c r="D20" s="12">
        <f>383+56</f>
        <v>439</v>
      </c>
      <c r="E20" s="15">
        <f t="shared" si="3"/>
        <v>6.8390715064651815</v>
      </c>
      <c r="F20" s="12">
        <f>5936+483</f>
        <v>6419</v>
      </c>
      <c r="G20" s="12">
        <f>383+56</f>
        <v>439</v>
      </c>
      <c r="H20" s="15">
        <f t="shared" si="2"/>
        <v>6.8390715064651815</v>
      </c>
      <c r="I20" s="12" t="s">
        <v>39</v>
      </c>
      <c r="J20" s="15">
        <f t="shared" si="0"/>
        <v>100</v>
      </c>
      <c r="K20" s="5"/>
      <c r="N20" t="s">
        <v>12</v>
      </c>
      <c r="O20">
        <v>6.8390715064651815</v>
      </c>
    </row>
    <row r="21" spans="1:15">
      <c r="A21" s="3" t="s">
        <v>13</v>
      </c>
      <c r="B21" s="2">
        <v>2016</v>
      </c>
      <c r="C21" s="12">
        <v>376</v>
      </c>
      <c r="D21" s="12">
        <v>78</v>
      </c>
      <c r="E21" s="15">
        <f t="shared" si="3"/>
        <v>20.74468085106383</v>
      </c>
      <c r="F21" s="12">
        <v>376</v>
      </c>
      <c r="G21" s="12">
        <v>78</v>
      </c>
      <c r="H21" s="15">
        <f t="shared" si="2"/>
        <v>20.74468085106383</v>
      </c>
      <c r="I21" s="12" t="s">
        <v>39</v>
      </c>
      <c r="J21" s="15">
        <f t="shared" si="0"/>
        <v>100</v>
      </c>
      <c r="K21" s="5" t="s">
        <v>43</v>
      </c>
      <c r="N21" t="s">
        <v>13</v>
      </c>
      <c r="O21">
        <v>20.74468085106383</v>
      </c>
    </row>
    <row r="22" spans="1:15" ht="29.1">
      <c r="A22" s="4" t="s">
        <v>44</v>
      </c>
      <c r="B22" s="5">
        <v>1965</v>
      </c>
      <c r="C22" s="12">
        <v>500</v>
      </c>
      <c r="D22" s="12">
        <v>54</v>
      </c>
      <c r="E22" s="15">
        <f t="shared" si="3"/>
        <v>10.8</v>
      </c>
      <c r="F22" s="12">
        <v>500</v>
      </c>
      <c r="G22" s="12">
        <v>54</v>
      </c>
      <c r="H22" s="15">
        <f t="shared" si="2"/>
        <v>10.8</v>
      </c>
      <c r="I22" s="12" t="s">
        <v>39</v>
      </c>
      <c r="J22" s="15">
        <f t="shared" si="0"/>
        <v>100</v>
      </c>
      <c r="K22" s="5" t="s">
        <v>45</v>
      </c>
      <c r="N22" t="s">
        <v>46</v>
      </c>
      <c r="O22">
        <v>10.8</v>
      </c>
    </row>
    <row r="23" spans="1:15" ht="15" thickBot="1">
      <c r="A23" s="19" t="s">
        <v>15</v>
      </c>
      <c r="B23" s="20">
        <v>2014</v>
      </c>
      <c r="C23" s="21">
        <f>690+483</f>
        <v>1173</v>
      </c>
      <c r="D23" s="21">
        <f>86+57</f>
        <v>143</v>
      </c>
      <c r="E23" s="22">
        <f t="shared" si="3"/>
        <v>12.190963341858483</v>
      </c>
      <c r="F23" s="21">
        <f>690+483</f>
        <v>1173</v>
      </c>
      <c r="G23" s="21">
        <f>86+57</f>
        <v>143</v>
      </c>
      <c r="H23" s="22">
        <f t="shared" si="2"/>
        <v>12.190963341858483</v>
      </c>
      <c r="I23" s="21" t="s">
        <v>39</v>
      </c>
      <c r="J23" s="22">
        <f t="shared" si="0"/>
        <v>100</v>
      </c>
      <c r="K23" s="23"/>
      <c r="N23" t="s">
        <v>15</v>
      </c>
      <c r="O23">
        <v>12.190963341858483</v>
      </c>
    </row>
    <row r="24" spans="1:15" s="29" customFormat="1" ht="29.45" thickBot="1">
      <c r="A24" s="24" t="s">
        <v>47</v>
      </c>
      <c r="B24" s="25">
        <v>2012</v>
      </c>
      <c r="C24" s="26">
        <v>560</v>
      </c>
      <c r="D24" s="26">
        <v>74</v>
      </c>
      <c r="E24" s="27">
        <f t="shared" si="3"/>
        <v>13.214285714285715</v>
      </c>
      <c r="F24" s="26">
        <v>560</v>
      </c>
      <c r="G24" s="26">
        <v>74</v>
      </c>
      <c r="H24" s="27">
        <f t="shared" si="2"/>
        <v>13.214285714285715</v>
      </c>
      <c r="I24" s="26" t="s">
        <v>39</v>
      </c>
      <c r="J24" s="27">
        <v>100</v>
      </c>
      <c r="K24" s="28" t="s">
        <v>48</v>
      </c>
      <c r="N24"/>
      <c r="O24"/>
    </row>
    <row r="25" spans="1:15">
      <c r="A25" t="s">
        <v>26</v>
      </c>
      <c r="B25">
        <v>2018</v>
      </c>
      <c r="C25" s="60">
        <v>658</v>
      </c>
      <c r="D25" s="60">
        <v>103</v>
      </c>
      <c r="E25" s="61">
        <f t="shared" si="3"/>
        <v>15.653495440729484</v>
      </c>
      <c r="F25" s="60">
        <v>467</v>
      </c>
      <c r="G25" s="60">
        <v>72</v>
      </c>
      <c r="H25" s="61">
        <f t="shared" si="2"/>
        <v>15.417558886509635</v>
      </c>
      <c r="I25" s="60" t="s">
        <v>49</v>
      </c>
      <c r="J25" s="62">
        <f>F25/C25</f>
        <v>0.70972644376899696</v>
      </c>
      <c r="K25"/>
    </row>
    <row r="26" spans="1:15" ht="29.1">
      <c r="A26" t="s">
        <v>4</v>
      </c>
      <c r="B26">
        <v>2018</v>
      </c>
      <c r="C26" s="60">
        <v>150</v>
      </c>
      <c r="D26" s="60">
        <v>104</v>
      </c>
      <c r="E26" s="61">
        <f t="shared" si="3"/>
        <v>69.333333333333343</v>
      </c>
      <c r="F26" s="60">
        <v>150</v>
      </c>
      <c r="G26" s="60">
        <v>104</v>
      </c>
      <c r="H26" s="61">
        <f t="shared" si="2"/>
        <v>69.333333333333343</v>
      </c>
      <c r="I26" s="60" t="s">
        <v>39</v>
      </c>
      <c r="J26" s="62">
        <v>1</v>
      </c>
      <c r="K26" s="65" t="s">
        <v>50</v>
      </c>
    </row>
    <row r="27" spans="1:15">
      <c r="A27" t="s">
        <v>23</v>
      </c>
      <c r="B27">
        <v>2018</v>
      </c>
      <c r="C27" s="60">
        <v>4802</v>
      </c>
      <c r="D27" s="60">
        <v>153</v>
      </c>
      <c r="E27" s="61">
        <f t="shared" si="3"/>
        <v>3.1861724281549355</v>
      </c>
      <c r="F27" s="60">
        <f>1228+1010+1058+47+31+36+89+71+76</f>
        <v>3646</v>
      </c>
      <c r="G27" s="60">
        <f>47+31+36</f>
        <v>114</v>
      </c>
      <c r="H27" s="62">
        <f>G27/F27</f>
        <v>3.1267142073505214E-2</v>
      </c>
      <c r="I27" s="60" t="s">
        <v>49</v>
      </c>
      <c r="J27" s="62">
        <f>F27/C27</f>
        <v>0.75926697209496041</v>
      </c>
      <c r="K27" t="s">
        <v>51</v>
      </c>
    </row>
    <row r="28" spans="1:15">
      <c r="A28" s="30"/>
      <c r="B28" s="30"/>
      <c r="C28" s="31"/>
      <c r="D28" s="31"/>
      <c r="E28" s="32"/>
      <c r="F28" s="31"/>
      <c r="G28" s="31"/>
      <c r="H28" s="32"/>
      <c r="I28" s="31"/>
      <c r="J28" s="32"/>
      <c r="K28" s="33"/>
    </row>
    <row r="29" spans="1:15">
      <c r="A29" s="2" t="s">
        <v>52</v>
      </c>
      <c r="B29" s="2"/>
      <c r="C29" s="12">
        <f>SUM(C2:C27)-C24</f>
        <v>26916</v>
      </c>
      <c r="D29" s="12"/>
      <c r="E29" s="15"/>
      <c r="F29" s="12">
        <f>SUM(F2:F27)-F24</f>
        <v>20032</v>
      </c>
      <c r="G29" s="12">
        <f>SUM(G2:G27)</f>
        <v>2550</v>
      </c>
      <c r="H29" s="34">
        <f>AVERAGEA(H2:H27)</f>
        <v>19.678476064983691</v>
      </c>
      <c r="I29" s="12"/>
      <c r="J29" s="15"/>
      <c r="K29" s="5"/>
    </row>
    <row r="32" spans="1:15">
      <c r="G32" t="s">
        <v>53</v>
      </c>
      <c r="H32" s="35" t="s">
        <v>54</v>
      </c>
    </row>
    <row r="33" spans="5:8">
      <c r="E33" s="35">
        <f>(F29/C29)*100</f>
        <v>74.424134343884674</v>
      </c>
      <c r="G33">
        <f>G23+G22+G21+G20+G19+G18+G15+G14+G8+G6+G5</f>
        <v>1486</v>
      </c>
      <c r="H33" s="35">
        <f>(H23+H22+H21+H20+H19+H18+H15+H14+H8+H6+H5)/11</f>
        <v>17.009101871036389</v>
      </c>
    </row>
    <row r="65" spans="1:15" s="18" customFormat="1">
      <c r="A65" s="1" t="s">
        <v>0</v>
      </c>
      <c r="B65" s="1" t="s">
        <v>1</v>
      </c>
      <c r="C65" s="10" t="s">
        <v>29</v>
      </c>
      <c r="D65" s="10" t="s">
        <v>30</v>
      </c>
      <c r="E65" s="16" t="s">
        <v>31</v>
      </c>
      <c r="F65" s="10" t="s">
        <v>32</v>
      </c>
      <c r="G65" s="17" t="s">
        <v>33</v>
      </c>
      <c r="H65" s="16" t="s">
        <v>34</v>
      </c>
      <c r="I65" s="10" t="s">
        <v>35</v>
      </c>
      <c r="J65" s="16" t="s">
        <v>36</v>
      </c>
      <c r="K65" s="1"/>
      <c r="N65"/>
      <c r="O65"/>
    </row>
    <row r="66" spans="1:15">
      <c r="A66" s="3" t="s">
        <v>6</v>
      </c>
      <c r="B66" s="2">
        <v>2012</v>
      </c>
      <c r="C66" s="12">
        <v>1023</v>
      </c>
      <c r="D66" s="12">
        <v>256</v>
      </c>
      <c r="E66" s="15">
        <f t="shared" ref="E66:E76" si="4">(D66/C66)*100</f>
        <v>25.024437927663733</v>
      </c>
      <c r="F66" s="12">
        <v>1023</v>
      </c>
      <c r="G66" s="12">
        <v>256</v>
      </c>
      <c r="H66" s="15">
        <f t="shared" ref="H66:H76" si="5">(G66/F66)*100</f>
        <v>25.024437927663733</v>
      </c>
      <c r="I66" s="12" t="s">
        <v>39</v>
      </c>
      <c r="J66" s="15">
        <f t="shared" ref="J66:J76" si="6">(F66/C66)*100</f>
        <v>100</v>
      </c>
      <c r="K66" s="5"/>
    </row>
    <row r="67" spans="1:15">
      <c r="A67" s="3" t="s">
        <v>7</v>
      </c>
      <c r="B67" s="2">
        <v>2009</v>
      </c>
      <c r="C67" s="12">
        <v>506</v>
      </c>
      <c r="D67" s="12">
        <v>58</v>
      </c>
      <c r="E67" s="15">
        <f t="shared" si="4"/>
        <v>11.462450592885375</v>
      </c>
      <c r="F67" s="12">
        <v>506</v>
      </c>
      <c r="G67" s="12">
        <v>58</v>
      </c>
      <c r="H67" s="15">
        <f t="shared" si="5"/>
        <v>11.462450592885375</v>
      </c>
      <c r="I67" s="12" t="s">
        <v>39</v>
      </c>
      <c r="J67" s="15">
        <f t="shared" si="6"/>
        <v>100</v>
      </c>
      <c r="K67" s="5"/>
    </row>
    <row r="68" spans="1:15">
      <c r="A68" s="3" t="s">
        <v>8</v>
      </c>
      <c r="B68" s="2">
        <v>2011</v>
      </c>
      <c r="C68" s="12">
        <v>97</v>
      </c>
      <c r="D68" s="12">
        <v>12</v>
      </c>
      <c r="E68" s="15">
        <f t="shared" si="4"/>
        <v>12.371134020618557</v>
      </c>
      <c r="F68" s="12">
        <v>97</v>
      </c>
      <c r="G68" s="12">
        <v>12</v>
      </c>
      <c r="H68" s="15">
        <f t="shared" si="5"/>
        <v>12.371134020618557</v>
      </c>
      <c r="I68" s="12" t="s">
        <v>39</v>
      </c>
      <c r="J68" s="15">
        <f t="shared" si="6"/>
        <v>100</v>
      </c>
      <c r="K68" s="5"/>
    </row>
    <row r="69" spans="1:15">
      <c r="A69" s="3" t="s">
        <v>9</v>
      </c>
      <c r="B69" s="2">
        <v>2017</v>
      </c>
      <c r="C69" s="12">
        <v>644</v>
      </c>
      <c r="D69" s="12">
        <v>139</v>
      </c>
      <c r="E69" s="15">
        <f t="shared" si="4"/>
        <v>21.583850931677016</v>
      </c>
      <c r="F69" s="12">
        <v>644</v>
      </c>
      <c r="G69" s="12">
        <v>139</v>
      </c>
      <c r="H69" s="15">
        <f t="shared" si="5"/>
        <v>21.583850931677016</v>
      </c>
      <c r="I69" s="12" t="s">
        <v>39</v>
      </c>
      <c r="J69" s="15">
        <f t="shared" si="6"/>
        <v>100</v>
      </c>
      <c r="K69" s="5"/>
    </row>
    <row r="70" spans="1:15" ht="29.1">
      <c r="A70" s="3" t="s">
        <v>10</v>
      </c>
      <c r="B70" s="2">
        <v>1986</v>
      </c>
      <c r="C70" s="12">
        <v>500</v>
      </c>
      <c r="D70" s="12">
        <v>94</v>
      </c>
      <c r="E70" s="15">
        <f t="shared" si="4"/>
        <v>18.8</v>
      </c>
      <c r="F70" s="12">
        <v>500</v>
      </c>
      <c r="G70" s="12">
        <v>94</v>
      </c>
      <c r="H70" s="15">
        <f t="shared" si="5"/>
        <v>18.8</v>
      </c>
      <c r="I70" s="12" t="s">
        <v>39</v>
      </c>
      <c r="J70" s="15">
        <f t="shared" si="6"/>
        <v>100</v>
      </c>
      <c r="K70" s="5" t="s">
        <v>41</v>
      </c>
    </row>
    <row r="71" spans="1:15">
      <c r="A71" s="3" t="s">
        <v>11</v>
      </c>
      <c r="B71" s="2">
        <v>2012</v>
      </c>
      <c r="C71" s="12">
        <v>513</v>
      </c>
      <c r="D71" s="12">
        <v>135</v>
      </c>
      <c r="E71" s="15">
        <f t="shared" si="4"/>
        <v>26.315789473684209</v>
      </c>
      <c r="F71" s="12">
        <v>513</v>
      </c>
      <c r="G71" s="12">
        <v>135</v>
      </c>
      <c r="H71" s="15">
        <f t="shared" si="5"/>
        <v>26.315789473684209</v>
      </c>
      <c r="I71" s="12" t="s">
        <v>39</v>
      </c>
      <c r="J71" s="15">
        <f t="shared" si="6"/>
        <v>100</v>
      </c>
      <c r="K71" s="5"/>
    </row>
    <row r="72" spans="1:15">
      <c r="A72" s="3" t="s">
        <v>11</v>
      </c>
      <c r="B72" s="2">
        <v>2016</v>
      </c>
      <c r="C72" s="12">
        <v>372</v>
      </c>
      <c r="D72" s="12">
        <v>78</v>
      </c>
      <c r="E72" s="15">
        <f t="shared" si="4"/>
        <v>20.967741935483872</v>
      </c>
      <c r="F72" s="12">
        <v>372</v>
      </c>
      <c r="G72" s="12">
        <v>78</v>
      </c>
      <c r="H72" s="15">
        <f t="shared" si="5"/>
        <v>20.967741935483872</v>
      </c>
      <c r="I72" s="12" t="s">
        <v>39</v>
      </c>
      <c r="J72" s="15">
        <f t="shared" si="6"/>
        <v>100</v>
      </c>
      <c r="K72" s="5"/>
    </row>
    <row r="73" spans="1:15">
      <c r="A73" s="4" t="s">
        <v>12</v>
      </c>
      <c r="B73" s="5">
        <v>2010</v>
      </c>
      <c r="C73" s="12">
        <f>5936+483</f>
        <v>6419</v>
      </c>
      <c r="D73" s="12">
        <f>383+56</f>
        <v>439</v>
      </c>
      <c r="E73" s="15">
        <f t="shared" si="4"/>
        <v>6.8390715064651815</v>
      </c>
      <c r="F73" s="12">
        <f>5936+483</f>
        <v>6419</v>
      </c>
      <c r="G73" s="12">
        <f>383+56</f>
        <v>439</v>
      </c>
      <c r="H73" s="15">
        <f t="shared" si="5"/>
        <v>6.8390715064651815</v>
      </c>
      <c r="I73" s="12" t="s">
        <v>39</v>
      </c>
      <c r="J73" s="15">
        <f t="shared" si="6"/>
        <v>100</v>
      </c>
      <c r="K73" s="5"/>
    </row>
    <row r="74" spans="1:15">
      <c r="A74" s="3" t="s">
        <v>13</v>
      </c>
      <c r="B74" s="2">
        <v>2016</v>
      </c>
      <c r="C74" s="12">
        <v>376</v>
      </c>
      <c r="D74" s="12">
        <v>78</v>
      </c>
      <c r="E74" s="15">
        <f t="shared" si="4"/>
        <v>20.74468085106383</v>
      </c>
      <c r="F74" s="12">
        <v>376</v>
      </c>
      <c r="G74" s="12">
        <v>78</v>
      </c>
      <c r="H74" s="15">
        <f t="shared" si="5"/>
        <v>20.74468085106383</v>
      </c>
      <c r="I74" s="12" t="s">
        <v>39</v>
      </c>
      <c r="J74" s="15">
        <f t="shared" si="6"/>
        <v>100</v>
      </c>
      <c r="K74" s="5" t="s">
        <v>43</v>
      </c>
    </row>
    <row r="75" spans="1:15" ht="29.1">
      <c r="A75" s="4" t="s">
        <v>44</v>
      </c>
      <c r="B75" s="5">
        <v>1965</v>
      </c>
      <c r="C75" s="12">
        <v>500</v>
      </c>
      <c r="D75" s="12">
        <v>54</v>
      </c>
      <c r="E75" s="15">
        <f t="shared" si="4"/>
        <v>10.8</v>
      </c>
      <c r="F75" s="12">
        <v>500</v>
      </c>
      <c r="G75" s="12">
        <v>54</v>
      </c>
      <c r="H75" s="15">
        <f t="shared" si="5"/>
        <v>10.8</v>
      </c>
      <c r="I75" s="12" t="s">
        <v>39</v>
      </c>
      <c r="J75" s="15">
        <f t="shared" si="6"/>
        <v>100</v>
      </c>
      <c r="K75" s="5" t="s">
        <v>45</v>
      </c>
    </row>
    <row r="76" spans="1:15">
      <c r="A76" s="19" t="s">
        <v>15</v>
      </c>
      <c r="B76" s="20">
        <v>2014</v>
      </c>
      <c r="C76" s="21">
        <f>690+483</f>
        <v>1173</v>
      </c>
      <c r="D76" s="21">
        <f>86+57</f>
        <v>143</v>
      </c>
      <c r="E76" s="22">
        <f t="shared" si="4"/>
        <v>12.190963341858483</v>
      </c>
      <c r="F76" s="21">
        <f>690+483</f>
        <v>1173</v>
      </c>
      <c r="G76" s="21">
        <f>86+57</f>
        <v>143</v>
      </c>
      <c r="H76" s="22">
        <f t="shared" si="5"/>
        <v>12.190963341858483</v>
      </c>
      <c r="I76" s="21" t="s">
        <v>39</v>
      </c>
      <c r="J76" s="22">
        <f t="shared" si="6"/>
        <v>100</v>
      </c>
      <c r="K76" s="23"/>
    </row>
    <row r="78" spans="1:15" ht="15" thickBot="1"/>
    <row r="79" spans="1:15" s="29" customFormat="1" ht="29.45" thickBot="1">
      <c r="A79" s="24" t="s">
        <v>47</v>
      </c>
      <c r="B79" s="25">
        <v>2012</v>
      </c>
      <c r="C79" s="26">
        <v>560</v>
      </c>
      <c r="D79" s="26">
        <v>74</v>
      </c>
      <c r="E79" s="27">
        <f>(D79/C79)*100</f>
        <v>13.214285714285715</v>
      </c>
      <c r="F79" s="26">
        <v>560</v>
      </c>
      <c r="G79" s="26">
        <v>74</v>
      </c>
      <c r="H79" s="27">
        <f>(G79/F79)*100</f>
        <v>13.214285714285715</v>
      </c>
      <c r="I79" s="26" t="s">
        <v>39</v>
      </c>
      <c r="J79" s="27">
        <v>100</v>
      </c>
      <c r="K79" s="28" t="s">
        <v>48</v>
      </c>
      <c r="N79"/>
      <c r="O79"/>
    </row>
    <row r="85" spans="1:11">
      <c r="A85" s="1" t="s">
        <v>0</v>
      </c>
      <c r="B85" s="1" t="s">
        <v>1</v>
      </c>
      <c r="C85" s="10" t="s">
        <v>29</v>
      </c>
      <c r="D85" s="10" t="s">
        <v>30</v>
      </c>
      <c r="E85" s="16" t="s">
        <v>31</v>
      </c>
      <c r="F85" s="10" t="s">
        <v>32</v>
      </c>
      <c r="G85" s="17" t="s">
        <v>33</v>
      </c>
      <c r="H85" s="16" t="s">
        <v>34</v>
      </c>
      <c r="I85" s="10" t="s">
        <v>35</v>
      </c>
      <c r="J85" s="16" t="s">
        <v>36</v>
      </c>
      <c r="K85" s="1"/>
    </row>
    <row r="86" spans="1:11">
      <c r="A86" s="2" t="s">
        <v>16</v>
      </c>
      <c r="B86" s="2">
        <v>2009</v>
      </c>
      <c r="C86" s="12">
        <v>270</v>
      </c>
      <c r="D86" s="12">
        <v>20</v>
      </c>
      <c r="E86" s="15">
        <f>(D86/C86)*100</f>
        <v>7.4074074074074066</v>
      </c>
      <c r="F86" s="12">
        <v>97</v>
      </c>
      <c r="G86" s="12">
        <v>7</v>
      </c>
      <c r="H86" s="15">
        <f>(G86/F86)*100</f>
        <v>7.216494845360824</v>
      </c>
      <c r="I86" s="12"/>
      <c r="J86" s="15">
        <f>(F86/C86)*100</f>
        <v>35.925925925925931</v>
      </c>
      <c r="K86" s="5"/>
    </row>
    <row r="87" spans="1:11">
      <c r="A87" s="2" t="s">
        <v>38</v>
      </c>
      <c r="B87" s="2">
        <v>1996</v>
      </c>
      <c r="C87" s="12">
        <v>1024</v>
      </c>
      <c r="D87" s="12">
        <v>237</v>
      </c>
      <c r="E87" s="15">
        <f>(D87/C87)*100</f>
        <v>23.14453125</v>
      </c>
      <c r="F87" s="12">
        <v>301</v>
      </c>
      <c r="G87" s="12">
        <v>89</v>
      </c>
      <c r="H87" s="15">
        <f>(G87/F87)*100</f>
        <v>29.568106312292358</v>
      </c>
      <c r="I87" s="12"/>
      <c r="J87" s="15">
        <f t="shared" ref="J87:J96" si="7">(F87/C87)*100</f>
        <v>29.39453125</v>
      </c>
      <c r="K87" s="5"/>
    </row>
    <row r="88" spans="1:11">
      <c r="A88" s="2" t="s">
        <v>19</v>
      </c>
      <c r="B88" s="2">
        <v>2010</v>
      </c>
      <c r="C88" s="12">
        <v>104</v>
      </c>
      <c r="D88" s="12">
        <v>26</v>
      </c>
      <c r="E88" s="15">
        <f t="shared" ref="E88:E95" si="8">(D88/C88)*100</f>
        <v>25</v>
      </c>
      <c r="F88" s="12">
        <v>48</v>
      </c>
      <c r="G88" s="12">
        <v>11</v>
      </c>
      <c r="H88" s="15">
        <f t="shared" ref="H88:H96" si="9">(G88/F88)*100</f>
        <v>22.916666666666664</v>
      </c>
      <c r="I88" s="12"/>
      <c r="J88" s="15">
        <f t="shared" si="7"/>
        <v>46.153846153846153</v>
      </c>
      <c r="K88" s="5"/>
    </row>
    <row r="89" spans="1:11">
      <c r="A89" s="2" t="s">
        <v>20</v>
      </c>
      <c r="B89" s="2">
        <v>2009</v>
      </c>
      <c r="C89" s="12">
        <v>3322</v>
      </c>
      <c r="D89" s="12">
        <v>545</v>
      </c>
      <c r="E89" s="15">
        <f t="shared" si="8"/>
        <v>16.405779650812764</v>
      </c>
      <c r="F89" s="12">
        <v>1787</v>
      </c>
      <c r="G89" s="12">
        <v>328</v>
      </c>
      <c r="H89" s="15">
        <f t="shared" si="9"/>
        <v>18.354784555120311</v>
      </c>
      <c r="I89" s="12"/>
      <c r="J89" s="15">
        <f t="shared" si="7"/>
        <v>53.792895845875975</v>
      </c>
      <c r="K89" s="5"/>
    </row>
    <row r="90" spans="1:11">
      <c r="A90" s="2" t="s">
        <v>21</v>
      </c>
      <c r="B90" s="2">
        <v>2013</v>
      </c>
      <c r="C90" s="12">
        <v>674</v>
      </c>
      <c r="D90" s="12">
        <v>42</v>
      </c>
      <c r="E90" s="15">
        <f t="shared" si="8"/>
        <v>6.2314540059347179</v>
      </c>
      <c r="F90" s="12">
        <v>203</v>
      </c>
      <c r="G90" s="12">
        <v>19</v>
      </c>
      <c r="H90" s="15">
        <f t="shared" si="9"/>
        <v>9.3596059113300498</v>
      </c>
      <c r="I90" s="12"/>
      <c r="J90" s="15">
        <f t="shared" si="7"/>
        <v>30.118694362017806</v>
      </c>
      <c r="K90" s="5"/>
    </row>
    <row r="91" spans="1:11">
      <c r="A91" s="2" t="s">
        <v>21</v>
      </c>
      <c r="B91" s="2">
        <v>2016</v>
      </c>
      <c r="C91" s="12">
        <v>750</v>
      </c>
      <c r="D91" s="12">
        <v>22</v>
      </c>
      <c r="E91" s="15">
        <f t="shared" si="8"/>
        <v>2.9333333333333331</v>
      </c>
      <c r="F91" s="12">
        <v>222</v>
      </c>
      <c r="G91" s="12">
        <v>11</v>
      </c>
      <c r="H91" s="15">
        <f t="shared" si="9"/>
        <v>4.954954954954955</v>
      </c>
      <c r="I91" s="12"/>
      <c r="J91" s="15">
        <f t="shared" si="7"/>
        <v>29.599999999999998</v>
      </c>
      <c r="K91" s="5"/>
    </row>
    <row r="92" spans="1:11">
      <c r="A92" s="2" t="s">
        <v>22</v>
      </c>
      <c r="B92" s="2">
        <v>2007</v>
      </c>
      <c r="C92" s="12">
        <v>1041</v>
      </c>
      <c r="D92" s="12">
        <v>81</v>
      </c>
      <c r="E92" s="15">
        <f t="shared" si="8"/>
        <v>7.7809798270893378</v>
      </c>
      <c r="F92" s="12">
        <v>244</v>
      </c>
      <c r="G92" s="12">
        <v>15</v>
      </c>
      <c r="H92" s="15">
        <f t="shared" si="9"/>
        <v>6.1475409836065573</v>
      </c>
      <c r="I92" s="12"/>
      <c r="J92" s="15">
        <f t="shared" si="7"/>
        <v>23.439000960614795</v>
      </c>
      <c r="K92" s="5"/>
    </row>
    <row r="93" spans="1:11">
      <c r="A93" s="2" t="s">
        <v>24</v>
      </c>
      <c r="B93" s="2">
        <v>1997</v>
      </c>
      <c r="C93" s="12">
        <v>201</v>
      </c>
      <c r="D93" s="12">
        <v>58</v>
      </c>
      <c r="E93" s="15">
        <f t="shared" si="8"/>
        <v>28.855721393034827</v>
      </c>
      <c r="F93" s="12">
        <v>106</v>
      </c>
      <c r="G93" s="12">
        <v>35</v>
      </c>
      <c r="H93" s="15">
        <f t="shared" si="9"/>
        <v>33.018867924528301</v>
      </c>
      <c r="I93" s="12"/>
      <c r="J93" s="15">
        <f t="shared" si="7"/>
        <v>52.736318407960205</v>
      </c>
      <c r="K93" s="5"/>
    </row>
    <row r="94" spans="1:11" ht="29.1">
      <c r="A94" s="2" t="s">
        <v>25</v>
      </c>
      <c r="B94" s="2">
        <v>2011</v>
      </c>
      <c r="C94" s="12">
        <v>920</v>
      </c>
      <c r="D94" s="12">
        <v>296</v>
      </c>
      <c r="E94" s="15">
        <f t="shared" si="8"/>
        <v>32.173913043478258</v>
      </c>
      <c r="F94" s="12">
        <v>370</v>
      </c>
      <c r="G94" s="12">
        <v>112</v>
      </c>
      <c r="H94" s="15">
        <f t="shared" si="9"/>
        <v>30.270270270270274</v>
      </c>
      <c r="I94" s="12"/>
      <c r="J94" s="15">
        <f t="shared" si="7"/>
        <v>40.217391304347828</v>
      </c>
      <c r="K94" s="5" t="s">
        <v>40</v>
      </c>
    </row>
    <row r="95" spans="1:11" ht="29.1">
      <c r="A95" s="2" t="s">
        <v>27</v>
      </c>
      <c r="B95" s="2">
        <v>2010</v>
      </c>
      <c r="C95" s="12">
        <v>677</v>
      </c>
      <c r="D95" s="12">
        <v>164</v>
      </c>
      <c r="E95" s="15">
        <f t="shared" si="8"/>
        <v>24.224519940915805</v>
      </c>
      <c r="F95" s="12">
        <v>204</v>
      </c>
      <c r="G95" s="12">
        <v>46</v>
      </c>
      <c r="H95" s="15">
        <f t="shared" si="9"/>
        <v>22.549019607843139</v>
      </c>
      <c r="I95" s="12"/>
      <c r="J95" s="15">
        <f t="shared" si="7"/>
        <v>30.132939438700145</v>
      </c>
      <c r="K95" s="5" t="s">
        <v>42</v>
      </c>
    </row>
    <row r="96" spans="1:11">
      <c r="A96" s="2" t="s">
        <v>28</v>
      </c>
      <c r="B96" s="2">
        <v>2015</v>
      </c>
      <c r="C96" s="12">
        <v>200</v>
      </c>
      <c r="D96" s="12">
        <v>66</v>
      </c>
      <c r="E96" s="15">
        <f>(D96/C96)*100</f>
        <v>33</v>
      </c>
      <c r="F96" s="12">
        <v>64</v>
      </c>
      <c r="G96" s="12">
        <v>27</v>
      </c>
      <c r="H96" s="15">
        <f t="shared" si="9"/>
        <v>42.1875</v>
      </c>
      <c r="I96" s="12"/>
      <c r="J96" s="15">
        <f t="shared" si="7"/>
        <v>32</v>
      </c>
      <c r="K96" s="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27"/>
  <sheetViews>
    <sheetView topLeftCell="F1" workbookViewId="0">
      <pane ySplit="1" topLeftCell="A22" activePane="bottomLeft" state="frozen"/>
      <selection pane="bottomLeft" activeCell="H27" sqref="H27"/>
    </sheetView>
  </sheetViews>
  <sheetFormatPr defaultColWidth="8.7109375" defaultRowHeight="14.45"/>
  <cols>
    <col min="1" max="1" width="26.5703125" style="12" customWidth="1"/>
    <col min="2" max="2" width="5.42578125" style="12" bestFit="1" customWidth="1"/>
    <col min="3" max="3" width="9.140625" style="12" customWidth="1"/>
    <col min="4" max="4" width="11.42578125" style="12" customWidth="1"/>
    <col min="5" max="5" width="9.140625" style="12" bestFit="1" customWidth="1"/>
    <col min="6" max="6" width="8.7109375" style="12"/>
    <col min="7" max="7" width="24.140625" style="12" customWidth="1"/>
    <col min="8" max="8" width="29.85546875" style="12" customWidth="1"/>
    <col min="9" max="9" width="22.5703125" style="12" bestFit="1" customWidth="1"/>
    <col min="10" max="10" width="20.28515625" style="12" customWidth="1"/>
    <col min="11" max="11" width="12.42578125" style="12" customWidth="1"/>
    <col min="12" max="12" width="10.7109375" style="15" customWidth="1"/>
    <col min="13" max="13" width="9.85546875" style="15" customWidth="1"/>
    <col min="14" max="14" width="15.42578125" style="12" customWidth="1"/>
    <col min="15" max="15" width="11.42578125" style="5" bestFit="1" customWidth="1"/>
    <col min="16" max="16" width="12.5703125" style="12" bestFit="1" customWidth="1"/>
    <col min="17" max="17" width="13.5703125" style="12" bestFit="1" customWidth="1"/>
    <col min="18" max="16384" width="8.7109375" style="12"/>
  </cols>
  <sheetData>
    <row r="1" spans="1:18" s="10" customFormat="1" ht="43.5">
      <c r="A1" s="1" t="s">
        <v>0</v>
      </c>
      <c r="B1" s="1" t="s">
        <v>1</v>
      </c>
      <c r="C1" s="1" t="s">
        <v>55</v>
      </c>
      <c r="D1" s="1" t="s">
        <v>56</v>
      </c>
      <c r="E1" s="1" t="s">
        <v>57</v>
      </c>
      <c r="F1" s="1" t="s">
        <v>58</v>
      </c>
      <c r="G1" s="1" t="s">
        <v>58</v>
      </c>
      <c r="H1" s="1" t="s">
        <v>59</v>
      </c>
      <c r="I1" s="1" t="s">
        <v>60</v>
      </c>
      <c r="J1" s="1" t="s">
        <v>61</v>
      </c>
      <c r="K1" s="1" t="s">
        <v>62</v>
      </c>
      <c r="L1" s="8" t="s">
        <v>63</v>
      </c>
      <c r="M1" s="8" t="s">
        <v>64</v>
      </c>
      <c r="N1" s="1" t="s">
        <v>65</v>
      </c>
      <c r="O1" s="9" t="s">
        <v>66</v>
      </c>
      <c r="P1" s="10" t="s">
        <v>67</v>
      </c>
      <c r="Q1" s="10" t="s">
        <v>68</v>
      </c>
      <c r="R1" s="10" t="s">
        <v>69</v>
      </c>
    </row>
    <row r="2" spans="1:18" ht="29.1">
      <c r="A2" s="2" t="s">
        <v>16</v>
      </c>
      <c r="B2" s="2">
        <v>2009</v>
      </c>
      <c r="C2" s="2" t="s">
        <v>70</v>
      </c>
      <c r="D2" s="5" t="s">
        <v>71</v>
      </c>
      <c r="E2" s="5" t="s">
        <v>72</v>
      </c>
      <c r="F2" s="5" t="s">
        <v>73</v>
      </c>
      <c r="G2" s="5" t="s">
        <v>74</v>
      </c>
      <c r="H2" s="5" t="s">
        <v>75</v>
      </c>
      <c r="I2" s="5" t="s">
        <v>76</v>
      </c>
      <c r="J2" s="5" t="s">
        <v>77</v>
      </c>
      <c r="K2" s="5">
        <v>270</v>
      </c>
      <c r="L2" s="11">
        <f>(159/280)*100</f>
        <v>56.785714285714285</v>
      </c>
      <c r="M2" s="11">
        <f>(121/280)*100</f>
        <v>43.214285714285715</v>
      </c>
      <c r="N2" s="5" t="s">
        <v>78</v>
      </c>
      <c r="O2" s="5" t="s">
        <v>79</v>
      </c>
      <c r="P2" s="12" t="s">
        <v>80</v>
      </c>
      <c r="Q2" s="5" t="s">
        <v>81</v>
      </c>
    </row>
    <row r="3" spans="1:18" ht="29.1">
      <c r="A3" s="13" t="s">
        <v>82</v>
      </c>
      <c r="B3" s="2">
        <v>1996</v>
      </c>
      <c r="C3" s="2" t="s">
        <v>83</v>
      </c>
      <c r="D3" s="5" t="s">
        <v>84</v>
      </c>
      <c r="E3" s="5" t="s">
        <v>72</v>
      </c>
      <c r="F3" s="5" t="s">
        <v>85</v>
      </c>
      <c r="G3" s="5" t="s">
        <v>86</v>
      </c>
      <c r="H3" s="5" t="s">
        <v>87</v>
      </c>
      <c r="I3" s="5" t="s">
        <v>88</v>
      </c>
      <c r="J3" s="5" t="s">
        <v>89</v>
      </c>
      <c r="K3" s="5" t="s">
        <v>90</v>
      </c>
      <c r="L3" s="11"/>
      <c r="M3" s="11"/>
      <c r="N3" s="5" t="s">
        <v>91</v>
      </c>
      <c r="O3" s="5" t="s">
        <v>92</v>
      </c>
      <c r="R3" s="12" t="s">
        <v>93</v>
      </c>
    </row>
    <row r="4" spans="1:18" ht="43.5">
      <c r="A4" s="2" t="s">
        <v>19</v>
      </c>
      <c r="B4" s="2">
        <v>2010</v>
      </c>
      <c r="C4" s="2" t="s">
        <v>70</v>
      </c>
      <c r="D4" s="5" t="s">
        <v>94</v>
      </c>
      <c r="E4" s="5" t="s">
        <v>72</v>
      </c>
      <c r="F4" s="5" t="s">
        <v>95</v>
      </c>
      <c r="G4" s="5" t="s">
        <v>96</v>
      </c>
      <c r="H4" s="5" t="s">
        <v>97</v>
      </c>
      <c r="I4" s="5" t="s">
        <v>98</v>
      </c>
      <c r="J4" s="5" t="s">
        <v>77</v>
      </c>
      <c r="K4" s="5">
        <v>104</v>
      </c>
      <c r="L4" s="11">
        <f>(56/104)*100</f>
        <v>53.846153846153847</v>
      </c>
      <c r="M4" s="11">
        <f>(48/104)*100</f>
        <v>46.153846153846153</v>
      </c>
      <c r="N4" s="5"/>
    </row>
    <row r="5" spans="1:18" ht="43.5">
      <c r="A5" s="3" t="s">
        <v>6</v>
      </c>
      <c r="B5" s="2">
        <v>2012</v>
      </c>
      <c r="C5" s="2" t="s">
        <v>83</v>
      </c>
      <c r="D5" s="5" t="s">
        <v>99</v>
      </c>
      <c r="E5" s="5" t="s">
        <v>72</v>
      </c>
      <c r="F5" s="5" t="s">
        <v>73</v>
      </c>
      <c r="G5" s="5" t="s">
        <v>100</v>
      </c>
      <c r="H5" s="5" t="s">
        <v>101</v>
      </c>
      <c r="I5" s="5" t="s">
        <v>102</v>
      </c>
      <c r="J5" s="5" t="s">
        <v>77</v>
      </c>
      <c r="K5" s="5">
        <v>1023</v>
      </c>
      <c r="L5" s="11">
        <f>(503/1023)*100</f>
        <v>49.169110459433043</v>
      </c>
      <c r="M5" s="11">
        <f>(520/1023)*100</f>
        <v>50.830889540566957</v>
      </c>
      <c r="N5" s="5" t="s">
        <v>103</v>
      </c>
      <c r="R5" s="12" t="s">
        <v>104</v>
      </c>
    </row>
    <row r="6" spans="1:18" ht="43.5">
      <c r="A6" s="3" t="s">
        <v>7</v>
      </c>
      <c r="B6" s="2">
        <v>2009</v>
      </c>
      <c r="C6" s="2" t="s">
        <v>83</v>
      </c>
      <c r="D6" s="5" t="s">
        <v>99</v>
      </c>
      <c r="E6" s="5" t="s">
        <v>72</v>
      </c>
      <c r="F6" s="5" t="s">
        <v>105</v>
      </c>
      <c r="G6" s="5" t="s">
        <v>106</v>
      </c>
      <c r="H6" s="5" t="s">
        <v>107</v>
      </c>
      <c r="I6" s="5" t="s">
        <v>108</v>
      </c>
      <c r="J6" s="5" t="s">
        <v>77</v>
      </c>
      <c r="K6" s="5">
        <v>506</v>
      </c>
      <c r="L6" s="11">
        <f>100-54.3</f>
        <v>45.7</v>
      </c>
      <c r="M6" s="11">
        <v>54.3</v>
      </c>
      <c r="N6" s="5" t="s">
        <v>109</v>
      </c>
      <c r="P6" s="12" t="s">
        <v>110</v>
      </c>
      <c r="Q6" s="12" t="s">
        <v>111</v>
      </c>
      <c r="R6" s="12" t="s">
        <v>112</v>
      </c>
    </row>
    <row r="7" spans="1:18" ht="43.5">
      <c r="A7" s="2" t="s">
        <v>20</v>
      </c>
      <c r="B7" s="2">
        <v>2009</v>
      </c>
      <c r="C7" s="2" t="s">
        <v>70</v>
      </c>
      <c r="D7" s="5" t="s">
        <v>113</v>
      </c>
      <c r="E7" s="5" t="s">
        <v>72</v>
      </c>
      <c r="F7" s="5" t="s">
        <v>73</v>
      </c>
      <c r="G7" s="5" t="s">
        <v>114</v>
      </c>
      <c r="H7" s="5" t="s">
        <v>115</v>
      </c>
      <c r="I7" s="5" t="s">
        <v>116</v>
      </c>
      <c r="J7" s="5" t="s">
        <v>77</v>
      </c>
      <c r="K7" s="5">
        <v>3322</v>
      </c>
      <c r="L7" s="11"/>
      <c r="M7" s="11"/>
      <c r="N7" s="5"/>
    </row>
    <row r="8" spans="1:18" ht="116.1">
      <c r="A8" s="2" t="s">
        <v>8</v>
      </c>
      <c r="B8" s="2">
        <v>2011</v>
      </c>
      <c r="C8" s="2" t="s">
        <v>83</v>
      </c>
      <c r="D8" s="5" t="s">
        <v>117</v>
      </c>
      <c r="E8" s="5" t="s">
        <v>118</v>
      </c>
      <c r="F8" s="5" t="s">
        <v>119</v>
      </c>
      <c r="G8" s="5" t="s">
        <v>120</v>
      </c>
      <c r="H8" s="5" t="s">
        <v>121</v>
      </c>
      <c r="I8" s="5" t="s">
        <v>122</v>
      </c>
      <c r="J8" s="5" t="s">
        <v>77</v>
      </c>
      <c r="K8" s="5">
        <v>97</v>
      </c>
      <c r="L8" s="11">
        <f>(44/97)*100</f>
        <v>45.360824742268044</v>
      </c>
      <c r="M8" s="11">
        <f>(53/97)*100</f>
        <v>54.639175257731956</v>
      </c>
      <c r="N8" s="5" t="s">
        <v>123</v>
      </c>
      <c r="O8" s="5" t="s">
        <v>124</v>
      </c>
      <c r="P8" s="12" t="s">
        <v>125</v>
      </c>
      <c r="Q8" s="12" t="s">
        <v>126</v>
      </c>
    </row>
    <row r="9" spans="1:18" ht="29.1">
      <c r="A9" s="2" t="s">
        <v>21</v>
      </c>
      <c r="B9" s="2">
        <v>2016</v>
      </c>
      <c r="C9" s="2" t="s">
        <v>70</v>
      </c>
      <c r="D9" s="5" t="s">
        <v>127</v>
      </c>
      <c r="E9" s="5" t="s">
        <v>72</v>
      </c>
      <c r="F9" s="5" t="s">
        <v>128</v>
      </c>
      <c r="G9" s="5" t="s">
        <v>129</v>
      </c>
      <c r="H9" s="5" t="s">
        <v>130</v>
      </c>
      <c r="I9" s="5" t="s">
        <v>131</v>
      </c>
      <c r="J9" s="5" t="s">
        <v>77</v>
      </c>
      <c r="K9" s="5">
        <v>750</v>
      </c>
      <c r="L9" s="11"/>
      <c r="M9" s="11"/>
      <c r="N9" s="5"/>
    </row>
    <row r="10" spans="1:18" ht="29.1">
      <c r="A10" s="2" t="s">
        <v>21</v>
      </c>
      <c r="B10" s="2">
        <v>2013</v>
      </c>
      <c r="C10" s="2" t="s">
        <v>70</v>
      </c>
      <c r="D10" s="5" t="s">
        <v>127</v>
      </c>
      <c r="E10" s="5" t="s">
        <v>72</v>
      </c>
      <c r="F10" s="5" t="s">
        <v>132</v>
      </c>
      <c r="G10" s="5" t="s">
        <v>133</v>
      </c>
      <c r="H10" s="5" t="s">
        <v>130</v>
      </c>
      <c r="I10" s="5" t="s">
        <v>131</v>
      </c>
      <c r="J10" s="5" t="s">
        <v>77</v>
      </c>
      <c r="K10" s="5">
        <v>674</v>
      </c>
      <c r="L10" s="11">
        <f>(319/674)*100</f>
        <v>47.32937685459941</v>
      </c>
      <c r="M10" s="11">
        <f>(355/674)*100</f>
        <v>52.670623145400597</v>
      </c>
      <c r="N10" s="5"/>
      <c r="P10" s="12" t="s">
        <v>134</v>
      </c>
      <c r="Q10" s="12" t="s">
        <v>135</v>
      </c>
    </row>
    <row r="11" spans="1:18" ht="29.1">
      <c r="A11" s="2" t="s">
        <v>22</v>
      </c>
      <c r="B11" s="2">
        <v>2007</v>
      </c>
      <c r="C11" s="2" t="s">
        <v>70</v>
      </c>
      <c r="D11" s="5" t="s">
        <v>127</v>
      </c>
      <c r="E11" s="5" t="s">
        <v>72</v>
      </c>
      <c r="F11" s="5" t="s">
        <v>136</v>
      </c>
      <c r="G11" s="5" t="s">
        <v>137</v>
      </c>
      <c r="H11" s="5" t="s">
        <v>130</v>
      </c>
      <c r="I11" s="5" t="s">
        <v>131</v>
      </c>
      <c r="J11" s="5" t="s">
        <v>77</v>
      </c>
      <c r="K11" s="5">
        <v>1041</v>
      </c>
      <c r="L11" s="11">
        <f>(442/1041)*100</f>
        <v>42.459173871277613</v>
      </c>
      <c r="M11" s="11">
        <f>(599/1041)*100</f>
        <v>57.540826128722379</v>
      </c>
      <c r="N11" s="5" t="s">
        <v>138</v>
      </c>
      <c r="O11" s="14" t="s">
        <v>139</v>
      </c>
    </row>
    <row r="12" spans="1:18" ht="174">
      <c r="A12" s="2" t="s">
        <v>24</v>
      </c>
      <c r="B12" s="2">
        <v>1997</v>
      </c>
      <c r="C12" s="2" t="s">
        <v>83</v>
      </c>
      <c r="D12" s="5" t="s">
        <v>140</v>
      </c>
      <c r="E12" s="5" t="s">
        <v>118</v>
      </c>
      <c r="F12" s="5" t="s">
        <v>141</v>
      </c>
      <c r="G12" s="5" t="s">
        <v>142</v>
      </c>
      <c r="H12" s="5" t="s">
        <v>143</v>
      </c>
      <c r="I12" s="2" t="s">
        <v>144</v>
      </c>
      <c r="J12" s="5" t="s">
        <v>77</v>
      </c>
      <c r="K12" s="5">
        <v>201</v>
      </c>
      <c r="L12" s="15">
        <f>(98/210)*100</f>
        <v>46.666666666666664</v>
      </c>
      <c r="M12" s="11">
        <f>(103/201)*100</f>
        <v>51.243781094527364</v>
      </c>
      <c r="N12" s="5"/>
    </row>
    <row r="13" spans="1:18" ht="29.1">
      <c r="A13" s="2" t="s">
        <v>25</v>
      </c>
      <c r="B13" s="2">
        <v>2011</v>
      </c>
      <c r="C13" s="2" t="s">
        <v>83</v>
      </c>
      <c r="D13" s="5" t="s">
        <v>145</v>
      </c>
      <c r="E13" s="5" t="s">
        <v>72</v>
      </c>
      <c r="F13" s="5" t="s">
        <v>132</v>
      </c>
      <c r="G13" s="5" t="s">
        <v>146</v>
      </c>
      <c r="H13" s="5" t="s">
        <v>147</v>
      </c>
      <c r="I13" s="5" t="s">
        <v>148</v>
      </c>
      <c r="J13" s="5" t="s">
        <v>77</v>
      </c>
      <c r="K13" s="5">
        <v>920</v>
      </c>
      <c r="L13" s="11">
        <f>(544/920)*100</f>
        <v>59.130434782608695</v>
      </c>
      <c r="M13" s="11">
        <f>(376/920)*100</f>
        <v>40.869565217391305</v>
      </c>
      <c r="N13" s="5">
        <v>66</v>
      </c>
      <c r="O13" s="5" t="s">
        <v>149</v>
      </c>
    </row>
    <row r="14" spans="1:18" ht="87">
      <c r="A14" s="2" t="s">
        <v>9</v>
      </c>
      <c r="B14" s="2">
        <v>2017</v>
      </c>
      <c r="C14" s="2" t="s">
        <v>83</v>
      </c>
      <c r="D14" s="5" t="s">
        <v>150</v>
      </c>
      <c r="E14" s="5" t="s">
        <v>72</v>
      </c>
      <c r="F14" s="5" t="s">
        <v>132</v>
      </c>
      <c r="G14" s="5" t="s">
        <v>151</v>
      </c>
      <c r="H14" s="5" t="s">
        <v>152</v>
      </c>
      <c r="I14" s="5" t="s">
        <v>153</v>
      </c>
      <c r="J14" s="5" t="s">
        <v>154</v>
      </c>
      <c r="K14" s="5">
        <v>644</v>
      </c>
      <c r="L14" s="11">
        <f>((644-332)/644)*100</f>
        <v>48.447204968944099</v>
      </c>
      <c r="M14" s="11">
        <f>(332/644)*100</f>
        <v>51.552795031055901</v>
      </c>
      <c r="N14" s="5" t="s">
        <v>155</v>
      </c>
      <c r="P14" s="12" t="s">
        <v>156</v>
      </c>
      <c r="Q14" s="12" t="s">
        <v>157</v>
      </c>
    </row>
    <row r="15" spans="1:18" ht="43.5">
      <c r="A15" s="2" t="s">
        <v>10</v>
      </c>
      <c r="B15" s="2">
        <v>1986</v>
      </c>
      <c r="C15" s="2" t="s">
        <v>83</v>
      </c>
      <c r="D15" s="5" t="s">
        <v>113</v>
      </c>
      <c r="E15" s="5" t="s">
        <v>72</v>
      </c>
      <c r="F15" s="5" t="s">
        <v>158</v>
      </c>
      <c r="G15" s="5" t="s">
        <v>159</v>
      </c>
      <c r="H15" s="5" t="s">
        <v>160</v>
      </c>
      <c r="I15" s="5" t="s">
        <v>161</v>
      </c>
      <c r="J15" s="5" t="s">
        <v>77</v>
      </c>
      <c r="K15" s="5">
        <v>500</v>
      </c>
      <c r="L15" s="11">
        <f>(242/521)*100</f>
        <v>46.449136276391556</v>
      </c>
      <c r="M15" s="11">
        <f>(279/521)*100</f>
        <v>53.550863723608444</v>
      </c>
      <c r="N15" s="5">
        <v>78.3</v>
      </c>
      <c r="P15" s="12">
        <v>6.1</v>
      </c>
    </row>
    <row r="16" spans="1:18" ht="72.599999999999994">
      <c r="A16" s="2" t="s">
        <v>27</v>
      </c>
      <c r="B16" s="2">
        <v>2010</v>
      </c>
      <c r="C16" s="2" t="s">
        <v>83</v>
      </c>
      <c r="D16" s="5" t="s">
        <v>162</v>
      </c>
      <c r="E16" s="5" t="s">
        <v>72</v>
      </c>
      <c r="F16" s="5" t="s">
        <v>141</v>
      </c>
      <c r="G16" s="5"/>
      <c r="H16" s="5" t="s">
        <v>163</v>
      </c>
      <c r="I16" s="5" t="s">
        <v>164</v>
      </c>
      <c r="J16" s="5" t="s">
        <v>77</v>
      </c>
      <c r="K16" s="5">
        <v>677</v>
      </c>
      <c r="L16" s="11">
        <f>(438/677)*100</f>
        <v>64.69719350073855</v>
      </c>
      <c r="M16" s="11">
        <f>(329/677)*100</f>
        <v>48.596750369276222</v>
      </c>
      <c r="N16" s="5"/>
    </row>
    <row r="17" spans="1:18" ht="72.599999999999994">
      <c r="A17" s="2" t="s">
        <v>28</v>
      </c>
      <c r="B17" s="2">
        <v>2015</v>
      </c>
      <c r="C17" s="2" t="s">
        <v>83</v>
      </c>
      <c r="D17" s="5" t="s">
        <v>165</v>
      </c>
      <c r="E17" s="5" t="s">
        <v>72</v>
      </c>
      <c r="F17" s="5" t="s">
        <v>73</v>
      </c>
      <c r="G17" s="5" t="s">
        <v>166</v>
      </c>
      <c r="H17" s="5" t="s">
        <v>167</v>
      </c>
      <c r="I17" s="5" t="s">
        <v>168</v>
      </c>
      <c r="J17" s="5" t="s">
        <v>77</v>
      </c>
      <c r="K17" s="5">
        <v>200</v>
      </c>
      <c r="L17" s="11">
        <f>(138/200)*100</f>
        <v>69</v>
      </c>
      <c r="M17" s="15">
        <f>(62/200)*100</f>
        <v>31</v>
      </c>
      <c r="N17" s="11" t="s">
        <v>169</v>
      </c>
    </row>
    <row r="18" spans="1:18" ht="87">
      <c r="A18" s="2" t="s">
        <v>11</v>
      </c>
      <c r="B18" s="2">
        <v>2016</v>
      </c>
      <c r="C18" s="2" t="s">
        <v>83</v>
      </c>
      <c r="D18" s="5" t="s">
        <v>150</v>
      </c>
      <c r="E18" s="5" t="s">
        <v>72</v>
      </c>
      <c r="F18" s="5" t="s">
        <v>170</v>
      </c>
      <c r="G18" s="5" t="s">
        <v>171</v>
      </c>
      <c r="H18" s="5" t="s">
        <v>172</v>
      </c>
      <c r="I18" s="5" t="s">
        <v>173</v>
      </c>
      <c r="J18" s="5" t="s">
        <v>174</v>
      </c>
      <c r="K18" s="5">
        <v>372</v>
      </c>
      <c r="L18" s="11">
        <f>(187/372)*100</f>
        <v>50.268817204301072</v>
      </c>
      <c r="M18" s="11">
        <f>(185/372)*100</f>
        <v>49.731182795698928</v>
      </c>
      <c r="N18" s="5" t="s">
        <v>175</v>
      </c>
      <c r="P18" s="5" t="s">
        <v>176</v>
      </c>
      <c r="R18" s="12" t="s">
        <v>177</v>
      </c>
    </row>
    <row r="19" spans="1:18" ht="101.45">
      <c r="A19" s="2" t="s">
        <v>11</v>
      </c>
      <c r="B19" s="2">
        <v>2012</v>
      </c>
      <c r="C19" s="2" t="s">
        <v>83</v>
      </c>
      <c r="D19" s="5" t="s">
        <v>150</v>
      </c>
      <c r="E19" s="5" t="s">
        <v>72</v>
      </c>
      <c r="F19" s="5" t="s">
        <v>85</v>
      </c>
      <c r="G19" s="5" t="s">
        <v>178</v>
      </c>
      <c r="H19" s="5" t="s">
        <v>172</v>
      </c>
      <c r="I19" s="5" t="s">
        <v>179</v>
      </c>
      <c r="J19" s="5" t="s">
        <v>77</v>
      </c>
      <c r="K19" s="5">
        <v>513</v>
      </c>
      <c r="L19" s="11">
        <f>(226/513)*100</f>
        <v>44.054580896686154</v>
      </c>
      <c r="M19" s="11">
        <f>(287/513)*100</f>
        <v>55.945419103313846</v>
      </c>
      <c r="N19" s="5" t="s">
        <v>180</v>
      </c>
      <c r="P19" s="5" t="s">
        <v>181</v>
      </c>
      <c r="Q19" s="12" t="s">
        <v>182</v>
      </c>
    </row>
    <row r="20" spans="1:18" ht="116.1">
      <c r="A20" s="5" t="s">
        <v>12</v>
      </c>
      <c r="B20" s="5">
        <v>2010</v>
      </c>
      <c r="C20" s="5" t="s">
        <v>83</v>
      </c>
      <c r="D20" s="5" t="s">
        <v>99</v>
      </c>
      <c r="E20" s="5" t="s">
        <v>72</v>
      </c>
      <c r="F20" s="5"/>
      <c r="G20" s="2" t="s">
        <v>183</v>
      </c>
      <c r="H20" s="5" t="s">
        <v>184</v>
      </c>
      <c r="I20" s="5" t="s">
        <v>185</v>
      </c>
      <c r="J20" s="5" t="s">
        <v>154</v>
      </c>
      <c r="K20" s="5"/>
      <c r="L20" s="11"/>
      <c r="M20" s="11"/>
      <c r="N20" s="5" t="s">
        <v>186</v>
      </c>
      <c r="P20" s="5" t="s">
        <v>187</v>
      </c>
      <c r="Q20" s="12" t="s">
        <v>188</v>
      </c>
    </row>
    <row r="21" spans="1:18" ht="57.95">
      <c r="A21" s="2" t="s">
        <v>13</v>
      </c>
      <c r="B21" s="2">
        <v>2016</v>
      </c>
      <c r="C21" s="2" t="s">
        <v>83</v>
      </c>
      <c r="D21" s="5" t="s">
        <v>150</v>
      </c>
      <c r="E21" s="5" t="s">
        <v>72</v>
      </c>
      <c r="F21" s="5" t="s">
        <v>189</v>
      </c>
      <c r="G21" s="5" t="s">
        <v>190</v>
      </c>
      <c r="H21" s="5" t="s">
        <v>172</v>
      </c>
      <c r="I21" s="5" t="s">
        <v>191</v>
      </c>
      <c r="J21" s="5" t="s">
        <v>192</v>
      </c>
      <c r="K21" s="5">
        <v>376</v>
      </c>
      <c r="L21" s="11">
        <f>(190/376)*100</f>
        <v>50.531914893617028</v>
      </c>
      <c r="M21" s="11">
        <f>(186/376)*100</f>
        <v>49.468085106382979</v>
      </c>
      <c r="N21" s="5" t="s">
        <v>175</v>
      </c>
      <c r="P21" s="5" t="s">
        <v>193</v>
      </c>
      <c r="R21" s="12" t="s">
        <v>194</v>
      </c>
    </row>
    <row r="22" spans="1:18" ht="29.1">
      <c r="A22" s="5" t="s">
        <v>14</v>
      </c>
      <c r="B22" s="5">
        <v>1965</v>
      </c>
      <c r="C22" s="5" t="s">
        <v>83</v>
      </c>
      <c r="D22" s="5" t="s">
        <v>84</v>
      </c>
      <c r="E22" s="5" t="s">
        <v>72</v>
      </c>
      <c r="F22" s="5" t="s">
        <v>141</v>
      </c>
      <c r="G22" s="5" t="s">
        <v>195</v>
      </c>
      <c r="H22" s="5" t="s">
        <v>196</v>
      </c>
      <c r="I22" s="5" t="s">
        <v>197</v>
      </c>
      <c r="J22" s="5" t="s">
        <v>77</v>
      </c>
      <c r="K22" s="5">
        <v>500</v>
      </c>
      <c r="L22" s="11">
        <f>(214/500)*100</f>
        <v>42.8</v>
      </c>
      <c r="M22" s="11">
        <f>(286/500)*100</f>
        <v>57.199999999999996</v>
      </c>
      <c r="N22" s="5">
        <v>77.900000000000006</v>
      </c>
    </row>
    <row r="23" spans="1:18" ht="43.5">
      <c r="A23" s="69" t="s">
        <v>15</v>
      </c>
      <c r="B23" s="2">
        <v>2012</v>
      </c>
      <c r="C23" s="2" t="s">
        <v>83</v>
      </c>
      <c r="D23" s="5" t="s">
        <v>113</v>
      </c>
      <c r="E23" s="5" t="s">
        <v>72</v>
      </c>
      <c r="F23" s="5" t="s">
        <v>198</v>
      </c>
      <c r="G23" s="5" t="s">
        <v>199</v>
      </c>
      <c r="H23" s="5" t="s">
        <v>200</v>
      </c>
      <c r="I23" s="5" t="s">
        <v>201</v>
      </c>
      <c r="J23" s="5" t="s">
        <v>77</v>
      </c>
      <c r="K23" s="5">
        <v>560</v>
      </c>
      <c r="L23" s="11">
        <f>(207/560)*100</f>
        <v>36.964285714285715</v>
      </c>
      <c r="M23" s="11">
        <f>(353/560)*100</f>
        <v>63.035714285714285</v>
      </c>
      <c r="N23" s="5" t="s">
        <v>202</v>
      </c>
      <c r="O23" s="5" t="s">
        <v>203</v>
      </c>
      <c r="P23" s="5" t="s">
        <v>204</v>
      </c>
      <c r="Q23" s="5" t="s">
        <v>205</v>
      </c>
    </row>
    <row r="24" spans="1:18" ht="43.5">
      <c r="A24" s="69"/>
      <c r="B24" s="5">
        <v>2014</v>
      </c>
      <c r="C24" s="5" t="s">
        <v>83</v>
      </c>
      <c r="D24" s="5" t="s">
        <v>113</v>
      </c>
      <c r="E24" s="5" t="s">
        <v>72</v>
      </c>
      <c r="F24" s="5" t="s">
        <v>198</v>
      </c>
      <c r="G24" s="5" t="s">
        <v>199</v>
      </c>
      <c r="H24" s="5" t="s">
        <v>206</v>
      </c>
      <c r="I24" s="5" t="s">
        <v>207</v>
      </c>
      <c r="J24" s="5" t="s">
        <v>77</v>
      </c>
      <c r="K24" s="5" t="s">
        <v>208</v>
      </c>
      <c r="L24" s="11" t="s">
        <v>209</v>
      </c>
      <c r="M24" s="11" t="s">
        <v>210</v>
      </c>
      <c r="N24" s="5" t="s">
        <v>211</v>
      </c>
      <c r="P24" s="5" t="s">
        <v>212</v>
      </c>
      <c r="Q24" s="5" t="s">
        <v>213</v>
      </c>
    </row>
    <row r="25" spans="1:18">
      <c r="A25" s="2" t="s">
        <v>26</v>
      </c>
      <c r="B25" s="2">
        <v>2018</v>
      </c>
      <c r="C25" s="2" t="s">
        <v>70</v>
      </c>
      <c r="D25" s="12" t="s">
        <v>145</v>
      </c>
      <c r="E25" s="12" t="s">
        <v>72</v>
      </c>
      <c r="F25" s="12" t="s">
        <v>214</v>
      </c>
      <c r="G25" s="12" t="s">
        <v>215</v>
      </c>
      <c r="H25" s="12" t="s">
        <v>216</v>
      </c>
      <c r="I25" s="12" t="s">
        <v>217</v>
      </c>
      <c r="J25" s="12" t="s">
        <v>77</v>
      </c>
      <c r="K25" s="12">
        <v>658</v>
      </c>
      <c r="L25" s="15">
        <f>388/K25</f>
        <v>0.58966565349544076</v>
      </c>
      <c r="M25" s="15">
        <f>270/K25</f>
        <v>0.41033434650455924</v>
      </c>
      <c r="N25" s="12" t="s">
        <v>218</v>
      </c>
    </row>
    <row r="26" spans="1:18">
      <c r="A26" s="2" t="s">
        <v>4</v>
      </c>
      <c r="B26" s="2">
        <v>2018</v>
      </c>
      <c r="C26" s="2" t="s">
        <v>83</v>
      </c>
      <c r="D26" s="12" t="s">
        <v>219</v>
      </c>
      <c r="E26" s="12" t="s">
        <v>72</v>
      </c>
      <c r="F26" s="12" t="s">
        <v>95</v>
      </c>
      <c r="G26" s="66">
        <v>42614</v>
      </c>
      <c r="H26" s="12" t="s">
        <v>220</v>
      </c>
      <c r="I26" s="12" t="s">
        <v>221</v>
      </c>
      <c r="J26" s="12" t="s">
        <v>222</v>
      </c>
      <c r="K26" s="12">
        <v>150</v>
      </c>
      <c r="N26" s="12" t="s">
        <v>223</v>
      </c>
    </row>
    <row r="27" spans="1:18">
      <c r="A27" s="12" t="s">
        <v>23</v>
      </c>
      <c r="B27" s="12">
        <v>2018</v>
      </c>
      <c r="C27" s="12" t="s">
        <v>83</v>
      </c>
      <c r="D27" s="12" t="s">
        <v>99</v>
      </c>
      <c r="E27" s="12" t="s">
        <v>72</v>
      </c>
      <c r="F27" s="12" t="s">
        <v>128</v>
      </c>
      <c r="G27" s="12" t="s">
        <v>224</v>
      </c>
      <c r="H27" s="12" t="s">
        <v>225</v>
      </c>
      <c r="I27" s="12" t="s">
        <v>226</v>
      </c>
      <c r="J27" s="12" t="s">
        <v>227</v>
      </c>
      <c r="K27" s="60">
        <f>4370+153+296</f>
        <v>4819</v>
      </c>
      <c r="L27" s="15">
        <f>(2181+64+108)/K27</f>
        <v>0.4882755758456111</v>
      </c>
      <c r="M27" s="15">
        <f>(2189+89+188)/K27</f>
        <v>0.5117244241543889</v>
      </c>
      <c r="N27" s="12" t="s">
        <v>228</v>
      </c>
      <c r="P27" s="12">
        <f>(1691+60+139+354+26+54)/K27</f>
        <v>0.48225772981946463</v>
      </c>
      <c r="R27" s="12" t="s">
        <v>229</v>
      </c>
    </row>
  </sheetData>
  <mergeCells count="1">
    <mergeCell ref="A23:A2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7"/>
  <sheetViews>
    <sheetView workbookViewId="0">
      <pane ySplit="1" topLeftCell="A24" activePane="bottomLeft" state="frozen"/>
      <selection pane="bottomLeft" activeCell="B28" sqref="B28"/>
    </sheetView>
  </sheetViews>
  <sheetFormatPr defaultColWidth="8.7109375" defaultRowHeight="14.45"/>
  <cols>
    <col min="1" max="1" width="26.5703125" style="36" customWidth="1"/>
    <col min="2" max="2" width="5.42578125" style="36" bestFit="1" customWidth="1"/>
    <col min="3" max="3" width="32.28515625" style="36" customWidth="1"/>
    <col min="4" max="4" width="34.140625" style="36" customWidth="1"/>
    <col min="5" max="5" width="12.28515625" style="36" customWidth="1"/>
    <col min="6" max="6" width="14.5703125" style="36" customWidth="1"/>
    <col min="7" max="7" width="11.7109375" style="36" customWidth="1"/>
    <col min="8" max="16384" width="8.7109375" style="36"/>
  </cols>
  <sheetData>
    <row r="1" spans="1:7" s="37" customFormat="1">
      <c r="A1" s="9" t="s">
        <v>0</v>
      </c>
      <c r="B1" s="9" t="s">
        <v>1</v>
      </c>
      <c r="C1" s="37" t="s">
        <v>230</v>
      </c>
      <c r="D1" s="37" t="s">
        <v>231</v>
      </c>
      <c r="E1" s="37" t="s">
        <v>232</v>
      </c>
      <c r="F1" s="37" t="s">
        <v>233</v>
      </c>
      <c r="G1" s="37" t="s">
        <v>234</v>
      </c>
    </row>
    <row r="2" spans="1:7" ht="57.95">
      <c r="A2" s="2" t="s">
        <v>16</v>
      </c>
      <c r="B2" s="2">
        <v>2009</v>
      </c>
      <c r="C2" s="36" t="s">
        <v>235</v>
      </c>
      <c r="D2" s="36" t="s">
        <v>236</v>
      </c>
      <c r="E2" s="36" t="s">
        <v>237</v>
      </c>
      <c r="F2" s="36" t="s">
        <v>238</v>
      </c>
      <c r="G2" s="36" t="s">
        <v>239</v>
      </c>
    </row>
    <row r="3" spans="1:7" ht="57.95">
      <c r="A3" s="13" t="s">
        <v>82</v>
      </c>
      <c r="B3" s="2">
        <v>1994</v>
      </c>
      <c r="C3" s="36" t="s">
        <v>240</v>
      </c>
      <c r="D3" s="36" t="s">
        <v>241</v>
      </c>
      <c r="E3" s="36" t="s">
        <v>237</v>
      </c>
      <c r="F3" s="36" t="s">
        <v>242</v>
      </c>
      <c r="G3" s="36" t="s">
        <v>239</v>
      </c>
    </row>
    <row r="4" spans="1:7" ht="57.95">
      <c r="A4" s="2" t="s">
        <v>19</v>
      </c>
      <c r="B4" s="2">
        <v>2010</v>
      </c>
      <c r="C4" s="36" t="s">
        <v>235</v>
      </c>
      <c r="D4" s="36" t="s">
        <v>243</v>
      </c>
      <c r="E4" s="36" t="s">
        <v>244</v>
      </c>
      <c r="F4" s="36" t="s">
        <v>245</v>
      </c>
      <c r="G4" s="36" t="s">
        <v>246</v>
      </c>
    </row>
    <row r="5" spans="1:7" ht="29.1">
      <c r="A5" s="2" t="s">
        <v>6</v>
      </c>
      <c r="B5" s="2">
        <v>2012</v>
      </c>
      <c r="C5" s="36" t="s">
        <v>247</v>
      </c>
      <c r="D5" s="36" t="s">
        <v>248</v>
      </c>
      <c r="E5" s="36" t="s">
        <v>238</v>
      </c>
      <c r="F5" s="36" t="s">
        <v>249</v>
      </c>
      <c r="G5" s="36" t="s">
        <v>249</v>
      </c>
    </row>
    <row r="6" spans="1:7" ht="43.5">
      <c r="A6" s="2" t="s">
        <v>7</v>
      </c>
      <c r="B6" s="2">
        <v>2009</v>
      </c>
      <c r="C6" s="36" t="s">
        <v>235</v>
      </c>
      <c r="D6" s="36" t="s">
        <v>250</v>
      </c>
      <c r="E6" s="36" t="s">
        <v>238</v>
      </c>
      <c r="F6" s="36" t="s">
        <v>245</v>
      </c>
      <c r="G6" s="36" t="s">
        <v>238</v>
      </c>
    </row>
    <row r="7" spans="1:7" ht="57.95">
      <c r="A7" s="2" t="s">
        <v>20</v>
      </c>
      <c r="B7" s="2">
        <v>2009</v>
      </c>
      <c r="C7" s="36" t="s">
        <v>247</v>
      </c>
      <c r="D7" s="36" t="s">
        <v>251</v>
      </c>
      <c r="E7" s="36" t="s">
        <v>237</v>
      </c>
      <c r="F7" s="36" t="s">
        <v>252</v>
      </c>
      <c r="G7" s="36" t="s">
        <v>239</v>
      </c>
    </row>
    <row r="8" spans="1:7" ht="57.95">
      <c r="A8" s="2" t="s">
        <v>8</v>
      </c>
      <c r="B8" s="2">
        <v>2011</v>
      </c>
      <c r="C8" s="36" t="s">
        <v>253</v>
      </c>
      <c r="D8" s="36" t="s">
        <v>238</v>
      </c>
      <c r="E8" s="36" t="s">
        <v>237</v>
      </c>
      <c r="F8" s="36" t="s">
        <v>254</v>
      </c>
      <c r="G8" s="36" t="s">
        <v>238</v>
      </c>
    </row>
    <row r="9" spans="1:7" ht="29.1">
      <c r="A9" s="2" t="s">
        <v>21</v>
      </c>
      <c r="B9" s="2">
        <v>2016</v>
      </c>
      <c r="C9" s="36" t="s">
        <v>235</v>
      </c>
      <c r="D9" s="36" t="s">
        <v>255</v>
      </c>
      <c r="E9" s="36" t="s">
        <v>237</v>
      </c>
      <c r="F9" s="36" t="s">
        <v>252</v>
      </c>
      <c r="G9" s="36" t="s">
        <v>249</v>
      </c>
    </row>
    <row r="10" spans="1:7" ht="72.599999999999994">
      <c r="A10" s="2" t="s">
        <v>21</v>
      </c>
      <c r="B10" s="2">
        <v>2013</v>
      </c>
      <c r="C10" s="36" t="s">
        <v>235</v>
      </c>
      <c r="D10" s="36" t="s">
        <v>256</v>
      </c>
      <c r="E10" s="36" t="s">
        <v>237</v>
      </c>
      <c r="F10" s="36" t="s">
        <v>257</v>
      </c>
      <c r="G10" s="36" t="s">
        <v>249</v>
      </c>
    </row>
    <row r="11" spans="1:7" ht="72.599999999999994">
      <c r="A11" s="2" t="s">
        <v>22</v>
      </c>
      <c r="B11" s="2">
        <v>2007</v>
      </c>
      <c r="C11" s="36" t="s">
        <v>235</v>
      </c>
      <c r="D11" s="36" t="s">
        <v>258</v>
      </c>
      <c r="E11" s="36" t="s">
        <v>237</v>
      </c>
      <c r="F11" s="36" t="s">
        <v>245</v>
      </c>
      <c r="G11" s="36" t="s">
        <v>259</v>
      </c>
    </row>
    <row r="12" spans="1:7" ht="72.599999999999994">
      <c r="A12" s="2" t="s">
        <v>24</v>
      </c>
      <c r="B12" s="2">
        <v>1997</v>
      </c>
      <c r="C12" s="36" t="s">
        <v>260</v>
      </c>
      <c r="D12" s="36" t="s">
        <v>261</v>
      </c>
      <c r="E12" s="36" t="s">
        <v>237</v>
      </c>
      <c r="F12" s="36" t="s">
        <v>262</v>
      </c>
      <c r="G12" s="36" t="s">
        <v>238</v>
      </c>
    </row>
    <row r="13" spans="1:7" ht="29.1">
      <c r="A13" s="2" t="s">
        <v>25</v>
      </c>
      <c r="B13" s="2">
        <v>2011</v>
      </c>
      <c r="C13" s="36" t="s">
        <v>235</v>
      </c>
      <c r="D13" s="36" t="s">
        <v>263</v>
      </c>
      <c r="E13" s="36" t="s">
        <v>237</v>
      </c>
      <c r="F13" s="36" t="s">
        <v>252</v>
      </c>
      <c r="G13" s="36" t="s">
        <v>249</v>
      </c>
    </row>
    <row r="14" spans="1:7" ht="57.95">
      <c r="A14" s="2" t="s">
        <v>9</v>
      </c>
      <c r="B14" s="2">
        <v>2017</v>
      </c>
      <c r="C14" s="36" t="s">
        <v>235</v>
      </c>
      <c r="D14" s="36" t="s">
        <v>264</v>
      </c>
      <c r="E14" s="36" t="s">
        <v>244</v>
      </c>
      <c r="F14" s="36" t="s">
        <v>252</v>
      </c>
      <c r="G14" s="36" t="s">
        <v>238</v>
      </c>
    </row>
    <row r="15" spans="1:7" ht="29.1">
      <c r="A15" s="2" t="s">
        <v>10</v>
      </c>
      <c r="B15" s="2">
        <v>1986</v>
      </c>
      <c r="C15" s="36" t="s">
        <v>235</v>
      </c>
      <c r="D15" s="36" t="s">
        <v>265</v>
      </c>
      <c r="E15" s="36" t="s">
        <v>266</v>
      </c>
      <c r="F15" s="36" t="s">
        <v>267</v>
      </c>
      <c r="G15" s="36" t="s">
        <v>239</v>
      </c>
    </row>
    <row r="16" spans="1:7" ht="43.5">
      <c r="A16" s="2" t="s">
        <v>27</v>
      </c>
      <c r="B16" s="2">
        <v>2010</v>
      </c>
      <c r="C16" s="36" t="s">
        <v>235</v>
      </c>
      <c r="D16" s="36" t="s">
        <v>268</v>
      </c>
      <c r="E16" s="36" t="s">
        <v>244</v>
      </c>
      <c r="F16" s="36" t="s">
        <v>249</v>
      </c>
      <c r="G16" s="36" t="s">
        <v>238</v>
      </c>
    </row>
    <row r="17" spans="1:7" ht="72.599999999999994">
      <c r="A17" s="2" t="s">
        <v>28</v>
      </c>
      <c r="B17" s="2">
        <v>2015</v>
      </c>
      <c r="C17" s="36" t="s">
        <v>235</v>
      </c>
      <c r="D17" s="36" t="s">
        <v>269</v>
      </c>
      <c r="E17" s="36" t="s">
        <v>237</v>
      </c>
      <c r="F17" s="36" t="s">
        <v>249</v>
      </c>
      <c r="G17" s="36" t="s">
        <v>270</v>
      </c>
    </row>
    <row r="18" spans="1:7" ht="29.1">
      <c r="A18" s="2" t="s">
        <v>11</v>
      </c>
      <c r="B18" s="2">
        <v>2016</v>
      </c>
      <c r="C18" s="36" t="s">
        <v>235</v>
      </c>
      <c r="D18" s="36" t="s">
        <v>238</v>
      </c>
      <c r="E18" s="36" t="s">
        <v>244</v>
      </c>
      <c r="F18" s="36" t="s">
        <v>245</v>
      </c>
      <c r="G18" s="36" t="s">
        <v>238</v>
      </c>
    </row>
    <row r="19" spans="1:7" ht="57.95">
      <c r="A19" s="2" t="s">
        <v>11</v>
      </c>
      <c r="B19" s="2">
        <v>2012</v>
      </c>
      <c r="C19" s="36" t="s">
        <v>271</v>
      </c>
      <c r="D19" s="36" t="s">
        <v>272</v>
      </c>
      <c r="E19" s="36" t="s">
        <v>244</v>
      </c>
      <c r="F19" s="36" t="s">
        <v>273</v>
      </c>
      <c r="G19" s="36" t="s">
        <v>238</v>
      </c>
    </row>
    <row r="20" spans="1:7" ht="29.1">
      <c r="A20" s="5" t="s">
        <v>12</v>
      </c>
      <c r="B20" s="5">
        <v>2010</v>
      </c>
      <c r="C20" s="36" t="s">
        <v>235</v>
      </c>
      <c r="D20" s="36" t="s">
        <v>274</v>
      </c>
      <c r="E20" s="36" t="s">
        <v>237</v>
      </c>
      <c r="F20" s="36" t="s">
        <v>245</v>
      </c>
      <c r="G20" s="36" t="s">
        <v>238</v>
      </c>
    </row>
    <row r="21" spans="1:7" ht="72.599999999999994">
      <c r="A21" s="2" t="s">
        <v>13</v>
      </c>
      <c r="B21" s="2">
        <v>2016</v>
      </c>
      <c r="C21" s="36" t="s">
        <v>235</v>
      </c>
      <c r="D21" s="36" t="s">
        <v>275</v>
      </c>
      <c r="E21" s="36" t="s">
        <v>244</v>
      </c>
      <c r="F21" s="36" t="s">
        <v>252</v>
      </c>
      <c r="G21" s="36" t="s">
        <v>238</v>
      </c>
    </row>
    <row r="22" spans="1:7" ht="57.95">
      <c r="A22" s="5" t="s">
        <v>14</v>
      </c>
      <c r="B22" s="5">
        <v>1965</v>
      </c>
      <c r="C22" s="36" t="s">
        <v>276</v>
      </c>
      <c r="D22" s="36" t="s">
        <v>277</v>
      </c>
      <c r="E22" s="36" t="s">
        <v>238</v>
      </c>
      <c r="F22" s="36" t="s">
        <v>238</v>
      </c>
      <c r="G22" s="36" t="s">
        <v>238</v>
      </c>
    </row>
    <row r="23" spans="1:7" ht="43.5">
      <c r="A23" s="70" t="s">
        <v>15</v>
      </c>
      <c r="B23" s="2">
        <v>2012</v>
      </c>
      <c r="C23" s="36" t="s">
        <v>247</v>
      </c>
      <c r="D23" s="36" t="s">
        <v>278</v>
      </c>
      <c r="E23" s="36" t="s">
        <v>279</v>
      </c>
      <c r="F23" s="36" t="s">
        <v>280</v>
      </c>
      <c r="G23" s="36" t="s">
        <v>239</v>
      </c>
    </row>
    <row r="24" spans="1:7" ht="43.5">
      <c r="A24" s="71"/>
      <c r="B24" s="5">
        <v>2014</v>
      </c>
      <c r="C24" s="36" t="s">
        <v>281</v>
      </c>
      <c r="D24" s="36" t="s">
        <v>282</v>
      </c>
      <c r="E24" s="36" t="s">
        <v>283</v>
      </c>
      <c r="F24" s="36" t="s">
        <v>238</v>
      </c>
      <c r="G24" s="36" t="s">
        <v>238</v>
      </c>
    </row>
    <row r="25" spans="1:7" ht="130.5">
      <c r="A25" s="2" t="s">
        <v>26</v>
      </c>
      <c r="B25" s="2">
        <v>2018</v>
      </c>
      <c r="C25" s="36" t="s">
        <v>247</v>
      </c>
      <c r="D25" s="36" t="s">
        <v>284</v>
      </c>
      <c r="E25" s="36" t="s">
        <v>237</v>
      </c>
      <c r="F25" s="36" t="s">
        <v>252</v>
      </c>
      <c r="G25" s="36" t="s">
        <v>239</v>
      </c>
    </row>
    <row r="26" spans="1:7">
      <c r="A26" s="2" t="s">
        <v>4</v>
      </c>
      <c r="B26" s="2">
        <v>2018</v>
      </c>
    </row>
    <row r="27" spans="1:7">
      <c r="A27" s="12" t="s">
        <v>23</v>
      </c>
      <c r="B27" s="36">
        <v>2018</v>
      </c>
    </row>
  </sheetData>
  <mergeCells count="1">
    <mergeCell ref="A23:A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7"/>
  <sheetViews>
    <sheetView workbookViewId="0">
      <selection activeCell="E17" sqref="E17"/>
    </sheetView>
  </sheetViews>
  <sheetFormatPr defaultRowHeight="14.45"/>
  <cols>
    <col min="1" max="1" width="26.5703125" style="36" customWidth="1"/>
    <col min="2" max="2" width="5.42578125" style="36" bestFit="1" customWidth="1"/>
    <col min="5" max="5" width="10.85546875" customWidth="1"/>
  </cols>
  <sheetData>
    <row r="1" spans="1:12" s="18" customFormat="1">
      <c r="A1" s="1" t="s">
        <v>0</v>
      </c>
      <c r="B1" s="1" t="s">
        <v>1</v>
      </c>
      <c r="C1" s="18" t="s">
        <v>285</v>
      </c>
      <c r="D1" s="18" t="s">
        <v>286</v>
      </c>
      <c r="E1" s="18" t="s">
        <v>287</v>
      </c>
      <c r="F1" s="18" t="s">
        <v>288</v>
      </c>
      <c r="G1" s="18" t="s">
        <v>289</v>
      </c>
      <c r="H1" s="18" t="s">
        <v>290</v>
      </c>
      <c r="I1" s="18" t="s">
        <v>291</v>
      </c>
      <c r="J1" s="18" t="s">
        <v>292</v>
      </c>
      <c r="K1" s="18" t="s">
        <v>293</v>
      </c>
      <c r="L1" s="18" t="s">
        <v>294</v>
      </c>
    </row>
    <row r="2" spans="1:12">
      <c r="A2" s="2" t="s">
        <v>16</v>
      </c>
      <c r="B2" s="2">
        <v>2009</v>
      </c>
      <c r="C2" t="s">
        <v>39</v>
      </c>
      <c r="D2" t="s">
        <v>237</v>
      </c>
      <c r="E2">
        <v>10</v>
      </c>
      <c r="G2">
        <v>1</v>
      </c>
      <c r="H2">
        <v>8</v>
      </c>
      <c r="I2">
        <v>1</v>
      </c>
    </row>
    <row r="3" spans="1:12">
      <c r="A3" s="2" t="s">
        <v>38</v>
      </c>
      <c r="B3" s="2">
        <v>1996</v>
      </c>
      <c r="C3" t="s">
        <v>39</v>
      </c>
      <c r="D3" t="s">
        <v>237</v>
      </c>
      <c r="E3" t="s">
        <v>295</v>
      </c>
      <c r="F3" s="38">
        <v>0.01</v>
      </c>
      <c r="G3" s="38">
        <v>0.44</v>
      </c>
      <c r="H3" s="38">
        <v>0.55000000000000004</v>
      </c>
      <c r="I3" s="38">
        <v>0</v>
      </c>
    </row>
    <row r="4" spans="1:12">
      <c r="A4" s="2" t="s">
        <v>19</v>
      </c>
      <c r="B4" s="2">
        <v>2010</v>
      </c>
      <c r="C4" t="s">
        <v>39</v>
      </c>
      <c r="D4" t="s">
        <v>244</v>
      </c>
      <c r="E4">
        <v>11</v>
      </c>
      <c r="F4">
        <v>0</v>
      </c>
      <c r="G4">
        <v>3</v>
      </c>
      <c r="H4">
        <v>8</v>
      </c>
      <c r="I4">
        <v>0</v>
      </c>
      <c r="L4" t="s">
        <v>296</v>
      </c>
    </row>
    <row r="5" spans="1:12">
      <c r="A5" s="2" t="s">
        <v>20</v>
      </c>
      <c r="B5" s="2">
        <v>2009</v>
      </c>
      <c r="C5" t="s">
        <v>39</v>
      </c>
      <c r="D5" t="s">
        <v>237</v>
      </c>
      <c r="E5">
        <v>476</v>
      </c>
      <c r="F5">
        <v>13</v>
      </c>
      <c r="G5">
        <v>323</v>
      </c>
      <c r="H5">
        <v>140</v>
      </c>
    </row>
    <row r="6" spans="1:12">
      <c r="A6" s="2" t="s">
        <v>21</v>
      </c>
      <c r="B6" s="2">
        <v>2016</v>
      </c>
      <c r="C6" t="s">
        <v>39</v>
      </c>
      <c r="D6" t="s">
        <v>237</v>
      </c>
      <c r="E6">
        <v>13</v>
      </c>
      <c r="G6">
        <v>6</v>
      </c>
      <c r="H6">
        <v>7</v>
      </c>
    </row>
    <row r="7" spans="1:12">
      <c r="A7" s="2" t="s">
        <v>21</v>
      </c>
      <c r="B7" s="2">
        <v>2013</v>
      </c>
      <c r="C7" t="s">
        <v>39</v>
      </c>
      <c r="D7" t="s">
        <v>237</v>
      </c>
      <c r="E7">
        <v>19</v>
      </c>
      <c r="G7">
        <v>9</v>
      </c>
      <c r="H7">
        <v>10</v>
      </c>
    </row>
    <row r="8" spans="1:12">
      <c r="A8" s="2" t="s">
        <v>22</v>
      </c>
      <c r="B8" s="2">
        <v>2007</v>
      </c>
      <c r="C8" t="s">
        <v>39</v>
      </c>
      <c r="D8" t="s">
        <v>237</v>
      </c>
      <c r="E8">
        <v>17</v>
      </c>
      <c r="G8">
        <v>10</v>
      </c>
      <c r="H8">
        <v>7</v>
      </c>
    </row>
    <row r="9" spans="1:12">
      <c r="A9" s="2" t="s">
        <v>10</v>
      </c>
      <c r="B9" s="2">
        <v>1986</v>
      </c>
      <c r="C9" t="s">
        <v>39</v>
      </c>
      <c r="D9" t="s">
        <v>266</v>
      </c>
      <c r="E9">
        <v>117</v>
      </c>
      <c r="F9">
        <v>6</v>
      </c>
      <c r="G9">
        <v>49</v>
      </c>
      <c r="H9">
        <v>59</v>
      </c>
      <c r="J9">
        <v>3</v>
      </c>
    </row>
    <row r="10" spans="1:12">
      <c r="A10" s="2" t="s">
        <v>11</v>
      </c>
      <c r="B10" s="2">
        <v>2012</v>
      </c>
      <c r="C10" t="s">
        <v>39</v>
      </c>
      <c r="D10" t="s">
        <v>244</v>
      </c>
      <c r="E10">
        <v>178</v>
      </c>
      <c r="F10">
        <v>52</v>
      </c>
      <c r="G10">
        <v>117</v>
      </c>
      <c r="H10">
        <v>9</v>
      </c>
    </row>
    <row r="11" spans="1:12">
      <c r="A11" s="5" t="s">
        <v>12</v>
      </c>
      <c r="B11" s="5">
        <v>2010</v>
      </c>
      <c r="C11" t="s">
        <v>39</v>
      </c>
      <c r="D11" t="s">
        <v>237</v>
      </c>
      <c r="L11" t="s">
        <v>297</v>
      </c>
    </row>
    <row r="12" spans="1:12">
      <c r="A12" s="2" t="s">
        <v>13</v>
      </c>
      <c r="B12" s="2">
        <v>2016</v>
      </c>
      <c r="C12" t="s">
        <v>39</v>
      </c>
      <c r="D12" t="s">
        <v>244</v>
      </c>
      <c r="E12">
        <v>91</v>
      </c>
      <c r="F12">
        <v>1</v>
      </c>
      <c r="G12">
        <v>65</v>
      </c>
      <c r="H12">
        <v>25</v>
      </c>
    </row>
    <row r="13" spans="1:12">
      <c r="A13" s="70" t="s">
        <v>15</v>
      </c>
      <c r="B13" s="2">
        <v>2012</v>
      </c>
      <c r="C13" t="s">
        <v>39</v>
      </c>
      <c r="D13" t="s">
        <v>279</v>
      </c>
      <c r="E13">
        <v>83</v>
      </c>
      <c r="F13">
        <v>19</v>
      </c>
      <c r="G13">
        <v>41</v>
      </c>
      <c r="H13">
        <v>23</v>
      </c>
    </row>
    <row r="14" spans="1:12">
      <c r="A14" s="71"/>
      <c r="B14" s="5">
        <v>2014</v>
      </c>
      <c r="C14" t="s">
        <v>39</v>
      </c>
      <c r="D14" t="s">
        <v>298</v>
      </c>
      <c r="F14">
        <v>23</v>
      </c>
      <c r="G14">
        <v>47</v>
      </c>
      <c r="H14">
        <v>25</v>
      </c>
      <c r="L14" t="s">
        <v>299</v>
      </c>
    </row>
    <row r="15" spans="1:12">
      <c r="A15" s="2" t="s">
        <v>26</v>
      </c>
      <c r="B15" s="2">
        <v>2018</v>
      </c>
      <c r="C15" t="s">
        <v>39</v>
      </c>
      <c r="D15" t="s">
        <v>237</v>
      </c>
      <c r="E15">
        <v>106</v>
      </c>
      <c r="F15">
        <v>3</v>
      </c>
      <c r="G15">
        <v>68</v>
      </c>
      <c r="H15">
        <v>18</v>
      </c>
      <c r="I15">
        <v>0</v>
      </c>
      <c r="K15">
        <v>17</v>
      </c>
      <c r="L15" t="s">
        <v>300</v>
      </c>
    </row>
    <row r="16" spans="1:12">
      <c r="A16" s="2" t="s">
        <v>4</v>
      </c>
      <c r="B16" s="2">
        <v>2018</v>
      </c>
      <c r="C16" t="s">
        <v>39</v>
      </c>
      <c r="D16" t="s">
        <v>237</v>
      </c>
    </row>
    <row r="17" spans="1:4">
      <c r="A17" s="12" t="s">
        <v>23</v>
      </c>
      <c r="B17" s="36">
        <v>2018</v>
      </c>
      <c r="C17" t="s">
        <v>39</v>
      </c>
      <c r="D17" t="s">
        <v>237</v>
      </c>
    </row>
  </sheetData>
  <mergeCells count="1">
    <mergeCell ref="A13:A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1"/>
  <sheetViews>
    <sheetView workbookViewId="0">
      <selection activeCell="A12" sqref="A12"/>
    </sheetView>
  </sheetViews>
  <sheetFormatPr defaultRowHeight="14.45"/>
  <cols>
    <col min="1" max="1" width="26.5703125" style="36" customWidth="1"/>
    <col min="2" max="2" width="5.42578125" style="36" bestFit="1" customWidth="1"/>
    <col min="3" max="3" width="7" style="36" customWidth="1"/>
    <col min="4" max="4" width="10.5703125" style="36" bestFit="1" customWidth="1"/>
  </cols>
  <sheetData>
    <row r="1" spans="1:10">
      <c r="A1" s="1" t="s">
        <v>0</v>
      </c>
      <c r="B1" s="1" t="s">
        <v>1</v>
      </c>
      <c r="C1" s="39" t="s">
        <v>301</v>
      </c>
      <c r="D1" s="18" t="s">
        <v>287</v>
      </c>
      <c r="E1" s="39" t="s">
        <v>286</v>
      </c>
      <c r="F1" s="39" t="s">
        <v>302</v>
      </c>
      <c r="G1" s="39" t="s">
        <v>303</v>
      </c>
      <c r="H1" s="39" t="s">
        <v>304</v>
      </c>
      <c r="I1" s="39" t="s">
        <v>305</v>
      </c>
    </row>
    <row r="2" spans="1:10">
      <c r="A2" s="2" t="s">
        <v>16</v>
      </c>
      <c r="B2" s="2">
        <v>2009</v>
      </c>
      <c r="C2" s="40" t="s">
        <v>39</v>
      </c>
      <c r="D2" s="40">
        <v>10</v>
      </c>
      <c r="E2" t="s">
        <v>239</v>
      </c>
      <c r="F2">
        <v>10</v>
      </c>
      <c r="G2" s="40">
        <v>0</v>
      </c>
      <c r="H2">
        <f>(F2/D2)*100</f>
        <v>100</v>
      </c>
      <c r="I2">
        <f>(G2/D2)*100</f>
        <v>0</v>
      </c>
    </row>
    <row r="3" spans="1:10">
      <c r="A3" s="2" t="s">
        <v>38</v>
      </c>
      <c r="B3" s="2">
        <v>1996</v>
      </c>
      <c r="C3" s="40"/>
      <c r="D3" s="40" t="s">
        <v>295</v>
      </c>
      <c r="H3" s="38">
        <v>0.78</v>
      </c>
      <c r="I3" s="38">
        <v>0.22</v>
      </c>
    </row>
    <row r="4" spans="1:10">
      <c r="A4" s="2" t="s">
        <v>19</v>
      </c>
      <c r="B4" s="2">
        <v>2010</v>
      </c>
      <c r="C4" s="40" t="s">
        <v>39</v>
      </c>
      <c r="D4" s="40"/>
      <c r="E4" t="s">
        <v>246</v>
      </c>
      <c r="F4">
        <v>10</v>
      </c>
    </row>
    <row r="5" spans="1:10">
      <c r="A5" s="2" t="s">
        <v>20</v>
      </c>
      <c r="B5" s="2">
        <v>2009</v>
      </c>
      <c r="C5" s="40" t="s">
        <v>39</v>
      </c>
      <c r="D5" s="40">
        <f>458+18</f>
        <v>476</v>
      </c>
      <c r="E5" t="s">
        <v>239</v>
      </c>
      <c r="F5">
        <v>458</v>
      </c>
      <c r="G5">
        <v>18</v>
      </c>
      <c r="H5">
        <f t="shared" ref="H5:H9" si="0">(F5/D5)*100</f>
        <v>96.21848739495799</v>
      </c>
      <c r="I5">
        <f t="shared" ref="I5:I9" si="1">(G5/D5)*100</f>
        <v>3.7815126050420167</v>
      </c>
    </row>
    <row r="6" spans="1:10">
      <c r="A6" s="2" t="s">
        <v>21</v>
      </c>
      <c r="B6" s="2">
        <v>2016</v>
      </c>
      <c r="C6" s="40" t="s">
        <v>39</v>
      </c>
      <c r="D6" s="40">
        <v>11</v>
      </c>
      <c r="E6" t="s">
        <v>249</v>
      </c>
      <c r="F6">
        <v>11</v>
      </c>
      <c r="H6">
        <f t="shared" si="0"/>
        <v>100</v>
      </c>
      <c r="I6">
        <f t="shared" si="1"/>
        <v>0</v>
      </c>
    </row>
    <row r="7" spans="1:10">
      <c r="A7" s="2" t="s">
        <v>22</v>
      </c>
      <c r="B7" s="2">
        <v>2007</v>
      </c>
      <c r="C7" s="40" t="s">
        <v>39</v>
      </c>
      <c r="D7" s="40">
        <v>15</v>
      </c>
      <c r="E7" t="s">
        <v>239</v>
      </c>
      <c r="F7">
        <v>14</v>
      </c>
      <c r="G7" s="40">
        <v>1</v>
      </c>
      <c r="H7">
        <f t="shared" si="0"/>
        <v>93.333333333333329</v>
      </c>
      <c r="I7">
        <f t="shared" si="1"/>
        <v>6.666666666666667</v>
      </c>
    </row>
    <row r="8" spans="1:10">
      <c r="A8" s="2" t="s">
        <v>10</v>
      </c>
      <c r="B8" s="2">
        <v>1986</v>
      </c>
      <c r="C8" s="40" t="s">
        <v>39</v>
      </c>
      <c r="D8" s="40">
        <v>117</v>
      </c>
      <c r="E8" t="s">
        <v>239</v>
      </c>
      <c r="F8">
        <v>110</v>
      </c>
      <c r="G8" s="40">
        <v>7</v>
      </c>
      <c r="H8">
        <f t="shared" si="0"/>
        <v>94.01709401709401</v>
      </c>
      <c r="I8">
        <f t="shared" si="1"/>
        <v>5.982905982905983</v>
      </c>
    </row>
    <row r="9" spans="1:10">
      <c r="A9" s="2" t="s">
        <v>15</v>
      </c>
      <c r="B9" s="2">
        <v>2012</v>
      </c>
      <c r="C9" s="40" t="s">
        <v>39</v>
      </c>
      <c r="D9" s="40">
        <v>83</v>
      </c>
      <c r="E9" t="s">
        <v>239</v>
      </c>
      <c r="F9">
        <v>78</v>
      </c>
      <c r="G9" s="40">
        <v>5</v>
      </c>
      <c r="H9">
        <f t="shared" si="0"/>
        <v>93.975903614457835</v>
      </c>
      <c r="I9">
        <f t="shared" si="1"/>
        <v>6.024096385542169</v>
      </c>
    </row>
    <row r="10" spans="1:10">
      <c r="A10" s="2" t="s">
        <v>306</v>
      </c>
      <c r="B10" s="2">
        <v>2018</v>
      </c>
      <c r="C10" s="40" t="s">
        <v>39</v>
      </c>
      <c r="D10" s="40"/>
      <c r="E10" t="s">
        <v>307</v>
      </c>
      <c r="J10" t="s">
        <v>308</v>
      </c>
    </row>
    <row r="11" spans="1:10">
      <c r="A11" s="2" t="s">
        <v>26</v>
      </c>
      <c r="B11" s="2">
        <v>2018</v>
      </c>
      <c r="C11" s="40" t="s">
        <v>39</v>
      </c>
      <c r="D11" s="40"/>
      <c r="E11" t="s">
        <v>239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2"/>
  <sheetViews>
    <sheetView topLeftCell="B1" workbookViewId="0">
      <selection activeCell="K9" sqref="K9"/>
    </sheetView>
  </sheetViews>
  <sheetFormatPr defaultRowHeight="14.45"/>
  <cols>
    <col min="1" max="1" width="26.5703125" style="36" customWidth="1"/>
    <col min="2" max="2" width="5.42578125" style="36" bestFit="1" customWidth="1"/>
    <col min="3" max="4" width="7" style="36" customWidth="1"/>
    <col min="5" max="5" width="10.5703125" style="36" bestFit="1" customWidth="1"/>
    <col min="6" max="6" width="13.28515625" style="35" customWidth="1"/>
  </cols>
  <sheetData>
    <row r="1" spans="1:15" ht="29.1">
      <c r="A1" s="1" t="s">
        <v>0</v>
      </c>
      <c r="B1" s="1" t="s">
        <v>1</v>
      </c>
      <c r="C1" s="39" t="s">
        <v>301</v>
      </c>
      <c r="D1" s="18" t="s">
        <v>309</v>
      </c>
      <c r="E1" s="18" t="s">
        <v>287</v>
      </c>
      <c r="F1" s="41" t="s">
        <v>310</v>
      </c>
      <c r="G1" s="39" t="s">
        <v>311</v>
      </c>
      <c r="H1" s="39" t="s">
        <v>312</v>
      </c>
      <c r="I1" s="39" t="s">
        <v>313</v>
      </c>
      <c r="J1" s="39" t="s">
        <v>314</v>
      </c>
    </row>
    <row r="2" spans="1:15">
      <c r="A2" s="2" t="s">
        <v>19</v>
      </c>
      <c r="B2" s="2">
        <v>2010</v>
      </c>
      <c r="C2" s="40" t="s">
        <v>39</v>
      </c>
      <c r="D2" s="40">
        <v>48</v>
      </c>
      <c r="E2" s="40">
        <v>12</v>
      </c>
    </row>
    <row r="3" spans="1:15">
      <c r="A3" s="2" t="s">
        <v>20</v>
      </c>
      <c r="B3" s="2">
        <v>2009</v>
      </c>
      <c r="C3" s="40" t="s">
        <v>39</v>
      </c>
      <c r="D3" s="40">
        <v>1787</v>
      </c>
      <c r="E3" s="40">
        <v>476</v>
      </c>
      <c r="F3" s="35">
        <f>((25+237)/476)*100</f>
        <v>55.042016806722692</v>
      </c>
      <c r="G3" t="s">
        <v>279</v>
      </c>
      <c r="H3">
        <v>25</v>
      </c>
      <c r="I3">
        <v>237</v>
      </c>
      <c r="J3">
        <v>214</v>
      </c>
    </row>
    <row r="4" spans="1:15">
      <c r="A4" s="2" t="s">
        <v>21</v>
      </c>
      <c r="B4" s="2">
        <v>2016</v>
      </c>
      <c r="C4" s="40" t="s">
        <v>39</v>
      </c>
      <c r="D4" s="40">
        <v>222</v>
      </c>
      <c r="E4" s="40">
        <v>11</v>
      </c>
      <c r="F4" s="35">
        <f>(7/11)*100</f>
        <v>63.636363636363633</v>
      </c>
      <c r="G4" t="s">
        <v>279</v>
      </c>
      <c r="H4">
        <v>1</v>
      </c>
      <c r="I4">
        <v>6</v>
      </c>
      <c r="J4">
        <v>4</v>
      </c>
    </row>
    <row r="5" spans="1:15">
      <c r="A5" s="2" t="s">
        <v>11</v>
      </c>
      <c r="B5" s="2">
        <v>2016</v>
      </c>
      <c r="C5" s="40" t="s">
        <v>39</v>
      </c>
      <c r="D5" s="40">
        <v>372</v>
      </c>
      <c r="E5" s="40">
        <v>89</v>
      </c>
      <c r="F5" s="35">
        <f>(85/89)*100</f>
        <v>95.50561797752809</v>
      </c>
      <c r="G5" t="s">
        <v>279</v>
      </c>
    </row>
    <row r="6" spans="1:15">
      <c r="A6" s="2" t="s">
        <v>15</v>
      </c>
      <c r="B6" s="2">
        <v>2012</v>
      </c>
      <c r="C6" s="40" t="s">
        <v>39</v>
      </c>
      <c r="D6" s="40">
        <v>1173</v>
      </c>
      <c r="E6" s="40">
        <v>84</v>
      </c>
      <c r="F6" s="35">
        <v>63</v>
      </c>
      <c r="G6" t="s">
        <v>279</v>
      </c>
    </row>
    <row r="7" spans="1:15">
      <c r="A7" s="2" t="s">
        <v>306</v>
      </c>
      <c r="B7" s="2">
        <v>2018</v>
      </c>
      <c r="C7" s="40" t="s">
        <v>39</v>
      </c>
      <c r="D7" s="40"/>
      <c r="E7" s="40"/>
      <c r="G7" t="s">
        <v>315</v>
      </c>
      <c r="K7" t="s">
        <v>316</v>
      </c>
    </row>
    <row r="8" spans="1:15">
      <c r="A8" s="2" t="s">
        <v>26</v>
      </c>
      <c r="B8" s="2">
        <v>2018</v>
      </c>
      <c r="C8" s="40" t="s">
        <v>39</v>
      </c>
      <c r="D8" s="40"/>
      <c r="E8" s="40"/>
      <c r="G8" t="s">
        <v>279</v>
      </c>
      <c r="K8" t="s">
        <v>317</v>
      </c>
    </row>
    <row r="9" spans="1:15">
      <c r="A9" s="2"/>
      <c r="B9" s="2"/>
      <c r="C9" s="40"/>
      <c r="D9" s="40"/>
      <c r="E9" s="40"/>
      <c r="F9" s="35">
        <f>AVERAGE(F3:F6)</f>
        <v>69.295999605153611</v>
      </c>
      <c r="M9" s="35">
        <v>55.042016806722692</v>
      </c>
    </row>
    <row r="10" spans="1:15">
      <c r="A10" s="2"/>
      <c r="B10" s="2"/>
      <c r="C10" s="40"/>
      <c r="D10" s="40">
        <f>SUM(D2:D9)</f>
        <v>3602</v>
      </c>
      <c r="E10" s="40">
        <f>SUM(E2:E9)</f>
        <v>672</v>
      </c>
      <c r="M10" s="35">
        <v>63</v>
      </c>
    </row>
    <row r="11" spans="1:15">
      <c r="M11" s="35">
        <v>63.636363636363633</v>
      </c>
      <c r="O11" s="35"/>
    </row>
    <row r="12" spans="1:15">
      <c r="M12" s="35">
        <v>95.50561797752809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0"/>
  <sheetViews>
    <sheetView workbookViewId="0">
      <pane ySplit="1" topLeftCell="A5" activePane="bottomLeft" state="frozen"/>
      <selection pane="bottomLeft" activeCell="P17" sqref="P17"/>
    </sheetView>
  </sheetViews>
  <sheetFormatPr defaultRowHeight="14.45"/>
  <cols>
    <col min="1" max="1" width="26.5703125" style="36" customWidth="1"/>
    <col min="2" max="2" width="5.42578125" style="36" bestFit="1" customWidth="1"/>
    <col min="3" max="3" width="7" style="36" customWidth="1"/>
    <col min="4" max="4" width="11.42578125" style="36" customWidth="1"/>
    <col min="5" max="5" width="10.5703125" style="36" bestFit="1" customWidth="1"/>
    <col min="6" max="6" width="14.42578125" customWidth="1"/>
    <col min="9" max="9" width="11.140625" customWidth="1"/>
    <col min="14" max="14" width="11.5703125" customWidth="1"/>
  </cols>
  <sheetData>
    <row r="1" spans="1:16" ht="57.95">
      <c r="A1" s="1" t="s">
        <v>0</v>
      </c>
      <c r="B1" s="1" t="s">
        <v>1</v>
      </c>
      <c r="C1" s="39" t="s">
        <v>318</v>
      </c>
      <c r="D1" s="18" t="s">
        <v>319</v>
      </c>
      <c r="E1" s="18" t="s">
        <v>287</v>
      </c>
      <c r="F1" s="39" t="s">
        <v>286</v>
      </c>
      <c r="G1" s="39" t="s">
        <v>320</v>
      </c>
      <c r="H1" s="39" t="s">
        <v>321</v>
      </c>
      <c r="I1" s="39" t="s">
        <v>322</v>
      </c>
      <c r="J1" s="39" t="s">
        <v>323</v>
      </c>
      <c r="K1" s="39" t="s">
        <v>324</v>
      </c>
      <c r="L1" s="39" t="s">
        <v>325</v>
      </c>
      <c r="M1" s="39" t="s">
        <v>326</v>
      </c>
      <c r="N1" s="39"/>
      <c r="O1" s="39" t="s">
        <v>327</v>
      </c>
    </row>
    <row r="2" spans="1:16">
      <c r="A2" s="2" t="s">
        <v>328</v>
      </c>
      <c r="B2" s="2">
        <v>1996</v>
      </c>
      <c r="C2" s="40" t="s">
        <v>39</v>
      </c>
      <c r="D2" s="40">
        <v>301</v>
      </c>
      <c r="E2" s="40">
        <v>89</v>
      </c>
      <c r="F2" t="s">
        <v>242</v>
      </c>
      <c r="H2" s="42">
        <v>25</v>
      </c>
      <c r="I2" s="42">
        <v>52</v>
      </c>
      <c r="J2" s="42">
        <v>12</v>
      </c>
      <c r="O2">
        <f>58+14</f>
        <v>72</v>
      </c>
      <c r="P2" t="s">
        <v>329</v>
      </c>
    </row>
    <row r="3" spans="1:16">
      <c r="A3" s="2" t="s">
        <v>19</v>
      </c>
      <c r="B3" s="2">
        <v>2010</v>
      </c>
      <c r="C3" s="40" t="s">
        <v>39</v>
      </c>
      <c r="D3" s="40">
        <v>48</v>
      </c>
      <c r="E3" s="40">
        <v>13</v>
      </c>
      <c r="F3" t="s">
        <v>245</v>
      </c>
      <c r="I3">
        <v>10</v>
      </c>
      <c r="J3">
        <v>3</v>
      </c>
      <c r="O3">
        <v>100</v>
      </c>
    </row>
    <row r="4" spans="1:16">
      <c r="A4" s="2" t="s">
        <v>6</v>
      </c>
      <c r="B4" s="2">
        <v>2012</v>
      </c>
      <c r="C4" s="40" t="s">
        <v>39</v>
      </c>
      <c r="D4" s="40">
        <v>1023</v>
      </c>
      <c r="E4" s="40">
        <v>245</v>
      </c>
      <c r="G4">
        <v>53.3</v>
      </c>
      <c r="N4">
        <v>130</v>
      </c>
      <c r="O4">
        <v>53.3</v>
      </c>
    </row>
    <row r="5" spans="1:16">
      <c r="A5" s="2" t="s">
        <v>7</v>
      </c>
      <c r="B5" s="2">
        <v>2009</v>
      </c>
      <c r="C5" s="40" t="s">
        <v>39</v>
      </c>
      <c r="D5" s="40">
        <v>506</v>
      </c>
      <c r="E5" s="40">
        <v>99</v>
      </c>
      <c r="G5">
        <f>(22/57)*100</f>
        <v>38.596491228070171</v>
      </c>
      <c r="N5">
        <v>38</v>
      </c>
      <c r="O5">
        <v>38.6</v>
      </c>
      <c r="P5" t="s">
        <v>330</v>
      </c>
    </row>
    <row r="6" spans="1:16">
      <c r="A6" s="2" t="s">
        <v>20</v>
      </c>
      <c r="B6" s="2">
        <v>2009</v>
      </c>
      <c r="C6" s="40" t="s">
        <v>39</v>
      </c>
      <c r="D6" s="40">
        <v>1787</v>
      </c>
      <c r="E6" s="40">
        <v>476</v>
      </c>
      <c r="F6" t="s">
        <v>331</v>
      </c>
      <c r="H6">
        <v>91</v>
      </c>
      <c r="I6">
        <v>372</v>
      </c>
      <c r="J6">
        <v>13</v>
      </c>
      <c r="O6">
        <f>((372+13)/476)*100</f>
        <v>80.882352941176478</v>
      </c>
    </row>
    <row r="7" spans="1:16">
      <c r="A7" s="2" t="s">
        <v>21</v>
      </c>
      <c r="B7" s="2">
        <v>2016</v>
      </c>
      <c r="C7" s="40" t="s">
        <v>39</v>
      </c>
      <c r="D7" s="40">
        <v>97</v>
      </c>
      <c r="E7" s="40">
        <v>13</v>
      </c>
      <c r="F7" t="s">
        <v>331</v>
      </c>
      <c r="H7">
        <v>3</v>
      </c>
      <c r="I7">
        <v>10</v>
      </c>
      <c r="O7">
        <f>((10/13)*100)</f>
        <v>76.923076923076934</v>
      </c>
    </row>
    <row r="8" spans="1:16">
      <c r="A8" s="2" t="s">
        <v>21</v>
      </c>
      <c r="B8" s="2">
        <v>2013</v>
      </c>
      <c r="C8" s="40" t="s">
        <v>39</v>
      </c>
      <c r="D8" s="40">
        <v>203</v>
      </c>
      <c r="E8" s="40">
        <v>19</v>
      </c>
      <c r="F8" t="s">
        <v>332</v>
      </c>
      <c r="H8">
        <v>3</v>
      </c>
      <c r="I8">
        <v>15</v>
      </c>
      <c r="J8">
        <v>1</v>
      </c>
      <c r="O8">
        <f>((15+1)/19)*100</f>
        <v>84.210526315789465</v>
      </c>
    </row>
    <row r="9" spans="1:16">
      <c r="A9" s="2" t="s">
        <v>22</v>
      </c>
      <c r="B9" s="2">
        <v>2007</v>
      </c>
      <c r="C9" s="40" t="s">
        <v>39</v>
      </c>
      <c r="D9" s="40">
        <v>222</v>
      </c>
      <c r="E9" s="40">
        <v>17</v>
      </c>
      <c r="F9" s="36" t="s">
        <v>245</v>
      </c>
      <c r="H9">
        <v>11</v>
      </c>
      <c r="I9">
        <v>6</v>
      </c>
      <c r="O9">
        <f>(6/11)*100</f>
        <v>54.54545454545454</v>
      </c>
    </row>
    <row r="10" spans="1:16" ht="43.5">
      <c r="A10" s="2" t="s">
        <v>24</v>
      </c>
      <c r="B10" s="2">
        <v>1997</v>
      </c>
      <c r="C10" s="40" t="s">
        <v>39</v>
      </c>
      <c r="D10" s="40">
        <v>244</v>
      </c>
      <c r="E10" s="40">
        <v>35</v>
      </c>
      <c r="F10" s="36" t="s">
        <v>262</v>
      </c>
      <c r="J10">
        <v>9</v>
      </c>
      <c r="O10">
        <f>(9/35)*100</f>
        <v>25.714285714285712</v>
      </c>
    </row>
    <row r="11" spans="1:16">
      <c r="A11" s="2" t="s">
        <v>10</v>
      </c>
      <c r="B11" s="2">
        <v>1986</v>
      </c>
      <c r="C11" s="40" t="s">
        <v>39</v>
      </c>
      <c r="D11" s="40">
        <v>500</v>
      </c>
      <c r="E11" s="40">
        <v>117</v>
      </c>
      <c r="F11" t="s">
        <v>267</v>
      </c>
      <c r="H11">
        <v>47</v>
      </c>
      <c r="I11">
        <v>57</v>
      </c>
      <c r="J11">
        <v>13</v>
      </c>
      <c r="O11">
        <f>((57+13)/117)*100</f>
        <v>59.82905982905983</v>
      </c>
    </row>
    <row r="12" spans="1:16">
      <c r="A12" s="2" t="s">
        <v>11</v>
      </c>
      <c r="B12" s="2">
        <v>2016</v>
      </c>
      <c r="C12" s="40" t="s">
        <v>39</v>
      </c>
      <c r="D12" s="40">
        <v>513</v>
      </c>
      <c r="E12" s="40">
        <v>89</v>
      </c>
      <c r="F12" s="36" t="s">
        <v>245</v>
      </c>
      <c r="G12">
        <f>(71/89)*100</f>
        <v>79.775280898876403</v>
      </c>
      <c r="O12">
        <v>79.78</v>
      </c>
    </row>
    <row r="13" spans="1:16">
      <c r="A13" s="2" t="s">
        <v>11</v>
      </c>
      <c r="B13" s="2">
        <v>2012</v>
      </c>
      <c r="C13" s="40" t="s">
        <v>39</v>
      </c>
      <c r="D13" s="40">
        <v>372</v>
      </c>
      <c r="E13" s="40">
        <v>178</v>
      </c>
      <c r="F13" s="36" t="s">
        <v>245</v>
      </c>
      <c r="J13">
        <v>43</v>
      </c>
      <c r="N13" t="s">
        <v>333</v>
      </c>
      <c r="O13">
        <v>24</v>
      </c>
    </row>
    <row r="14" spans="1:16">
      <c r="A14" s="5" t="s">
        <v>12</v>
      </c>
      <c r="B14" s="5">
        <v>2010</v>
      </c>
      <c r="C14" s="36" t="s">
        <v>39</v>
      </c>
      <c r="D14" s="36">
        <v>6419</v>
      </c>
      <c r="E14" s="36">
        <v>383</v>
      </c>
      <c r="F14" s="36" t="s">
        <v>245</v>
      </c>
      <c r="J14">
        <v>221</v>
      </c>
      <c r="N14" t="s">
        <v>334</v>
      </c>
      <c r="O14">
        <v>64</v>
      </c>
    </row>
    <row r="15" spans="1:16">
      <c r="A15" s="2" t="s">
        <v>13</v>
      </c>
      <c r="B15" s="2">
        <v>2016</v>
      </c>
      <c r="C15" s="40" t="s">
        <v>39</v>
      </c>
      <c r="D15" s="40">
        <v>376</v>
      </c>
      <c r="E15" s="40">
        <v>91</v>
      </c>
      <c r="F15" s="36" t="s">
        <v>331</v>
      </c>
      <c r="H15">
        <v>15</v>
      </c>
      <c r="I15">
        <v>59</v>
      </c>
      <c r="J15">
        <v>17</v>
      </c>
      <c r="O15">
        <f>((59+17)/91)*100</f>
        <v>83.516483516483518</v>
      </c>
    </row>
    <row r="16" spans="1:16">
      <c r="A16" s="2" t="s">
        <v>15</v>
      </c>
      <c r="B16" s="2">
        <v>2012</v>
      </c>
      <c r="C16" s="40" t="s">
        <v>39</v>
      </c>
      <c r="D16" s="40">
        <v>560</v>
      </c>
      <c r="E16" s="40">
        <v>83</v>
      </c>
      <c r="F16" s="36" t="s">
        <v>279</v>
      </c>
      <c r="K16">
        <v>23</v>
      </c>
      <c r="L16">
        <v>57</v>
      </c>
      <c r="M16">
        <v>3</v>
      </c>
      <c r="O16">
        <f>((57+3)/83)*100</f>
        <v>72.289156626506028</v>
      </c>
    </row>
    <row r="17" spans="1:16">
      <c r="A17" s="2" t="s">
        <v>26</v>
      </c>
      <c r="B17" s="2">
        <v>2018</v>
      </c>
      <c r="C17" s="40" t="s">
        <v>39</v>
      </c>
      <c r="D17" s="40">
        <v>467</v>
      </c>
      <c r="E17" s="40">
        <v>106</v>
      </c>
      <c r="F17" s="36" t="s">
        <v>331</v>
      </c>
      <c r="H17">
        <v>36</v>
      </c>
      <c r="I17">
        <v>57</v>
      </c>
      <c r="J17">
        <v>13</v>
      </c>
      <c r="P17" t="s">
        <v>335</v>
      </c>
    </row>
    <row r="18" spans="1:16">
      <c r="A18" s="2"/>
      <c r="B18" s="2"/>
      <c r="C18" s="40"/>
      <c r="D18" s="40"/>
      <c r="E18" s="40"/>
      <c r="J18" s="42"/>
    </row>
    <row r="19" spans="1:16">
      <c r="J19" s="42"/>
    </row>
    <row r="20" spans="1:16">
      <c r="J20" s="4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267"/>
  <sheetViews>
    <sheetView topLeftCell="A14" workbookViewId="0">
      <selection sqref="A1:XFD1048576"/>
    </sheetView>
  </sheetViews>
  <sheetFormatPr defaultRowHeight="14.45"/>
  <cols>
    <col min="1" max="1" width="24.42578125" style="36" bestFit="1" customWidth="1"/>
    <col min="2" max="2" width="24.42578125" style="36" customWidth="1"/>
    <col min="3" max="3" width="9.140625" style="36" customWidth="1"/>
    <col min="4" max="4" width="8" customWidth="1"/>
    <col min="5" max="5" width="7.5703125" customWidth="1"/>
    <col min="6" max="6" width="9.7109375" customWidth="1"/>
    <col min="7" max="7" width="6.28515625" bestFit="1" customWidth="1"/>
    <col min="8" max="9" width="7.140625" customWidth="1"/>
    <col min="10" max="10" width="7.85546875" customWidth="1"/>
    <col min="11" max="11" width="8.42578125" customWidth="1"/>
    <col min="12" max="12" width="5.5703125" customWidth="1"/>
    <col min="13" max="14" width="9.85546875" customWidth="1"/>
    <col min="15" max="15" width="7.85546875" customWidth="1"/>
    <col min="16" max="17" width="9.5703125" customWidth="1"/>
    <col min="18" max="18" width="9.140625" customWidth="1"/>
  </cols>
  <sheetData>
    <row r="1" spans="1:18" ht="29.1">
      <c r="A1" s="43" t="s">
        <v>0</v>
      </c>
      <c r="B1" s="39"/>
      <c r="C1" s="44" t="s">
        <v>16</v>
      </c>
      <c r="D1" s="44" t="s">
        <v>19</v>
      </c>
      <c r="E1" s="44" t="s">
        <v>6</v>
      </c>
      <c r="F1" s="44" t="s">
        <v>7</v>
      </c>
      <c r="G1" s="44" t="s">
        <v>20</v>
      </c>
      <c r="H1" s="44" t="s">
        <v>21</v>
      </c>
      <c r="I1" s="44" t="s">
        <v>21</v>
      </c>
      <c r="J1" s="44" t="s">
        <v>22</v>
      </c>
      <c r="K1" s="44" t="s">
        <v>24</v>
      </c>
      <c r="L1" s="44" t="s">
        <v>10</v>
      </c>
      <c r="M1" s="44" t="s">
        <v>11</v>
      </c>
      <c r="N1" s="44" t="s">
        <v>11</v>
      </c>
      <c r="O1" s="44" t="s">
        <v>13</v>
      </c>
      <c r="P1" s="45" t="s">
        <v>14</v>
      </c>
      <c r="Q1" s="44" t="s">
        <v>15</v>
      </c>
    </row>
    <row r="2" spans="1:18">
      <c r="A2" s="39" t="s">
        <v>1</v>
      </c>
      <c r="C2" s="40">
        <v>2009</v>
      </c>
      <c r="D2" s="40">
        <v>2010</v>
      </c>
      <c r="E2" s="40">
        <v>2012</v>
      </c>
      <c r="F2" s="40">
        <v>2009</v>
      </c>
      <c r="G2" s="40">
        <v>2009</v>
      </c>
      <c r="H2" s="40">
        <v>2016</v>
      </c>
      <c r="I2" s="40">
        <v>2013</v>
      </c>
      <c r="J2" s="40">
        <v>2007</v>
      </c>
      <c r="K2" s="40">
        <v>1997</v>
      </c>
      <c r="L2" s="40">
        <v>1986</v>
      </c>
      <c r="M2" s="40">
        <v>2016</v>
      </c>
      <c r="N2" s="40">
        <v>2012</v>
      </c>
      <c r="O2" s="40">
        <v>2016</v>
      </c>
      <c r="P2" s="36">
        <v>1965</v>
      </c>
      <c r="Q2" s="40">
        <v>2012</v>
      </c>
    </row>
    <row r="3" spans="1:18">
      <c r="A3" s="39" t="s">
        <v>336</v>
      </c>
      <c r="C3" s="40"/>
      <c r="D3" s="40"/>
      <c r="E3" s="40"/>
      <c r="F3" s="40"/>
      <c r="G3" s="40"/>
      <c r="H3" s="40"/>
      <c r="I3" s="40"/>
      <c r="J3" s="40"/>
      <c r="K3" t="s">
        <v>337</v>
      </c>
      <c r="L3" s="40"/>
      <c r="M3" s="40"/>
      <c r="N3" s="40"/>
      <c r="O3" s="40"/>
      <c r="P3" s="36"/>
      <c r="Q3" s="40"/>
    </row>
    <row r="4" spans="1:18">
      <c r="A4" s="18" t="s">
        <v>287</v>
      </c>
      <c r="C4" s="40">
        <v>10</v>
      </c>
      <c r="D4">
        <v>11</v>
      </c>
      <c r="E4">
        <v>245</v>
      </c>
      <c r="F4">
        <v>106</v>
      </c>
      <c r="G4">
        <v>476</v>
      </c>
      <c r="H4">
        <v>13</v>
      </c>
      <c r="I4">
        <v>19</v>
      </c>
      <c r="J4">
        <v>15</v>
      </c>
      <c r="K4">
        <v>35</v>
      </c>
      <c r="L4">
        <v>117</v>
      </c>
      <c r="M4">
        <v>89</v>
      </c>
      <c r="N4">
        <v>178</v>
      </c>
      <c r="O4">
        <v>91</v>
      </c>
      <c r="P4">
        <v>54</v>
      </c>
      <c r="Q4">
        <v>83</v>
      </c>
      <c r="R4">
        <f>SUM(E4:Q4)</f>
        <v>1521</v>
      </c>
    </row>
    <row r="5" spans="1:18">
      <c r="A5" t="s">
        <v>338</v>
      </c>
      <c r="B5" s="46" t="s">
        <v>339</v>
      </c>
      <c r="C5" s="40"/>
      <c r="H5">
        <v>1</v>
      </c>
      <c r="R5">
        <f>SUM(C5:Q5)</f>
        <v>1</v>
      </c>
    </row>
    <row r="6" spans="1:18">
      <c r="A6" s="5" t="s">
        <v>340</v>
      </c>
      <c r="B6" s="36" t="s">
        <v>341</v>
      </c>
      <c r="C6" s="5"/>
      <c r="D6" s="12"/>
      <c r="E6" s="12"/>
      <c r="F6" s="12"/>
      <c r="G6" s="12"/>
      <c r="H6" s="12"/>
      <c r="I6" s="12"/>
      <c r="J6" s="12"/>
      <c r="K6" s="12"/>
      <c r="L6" s="12"/>
      <c r="M6" s="12">
        <v>8</v>
      </c>
      <c r="N6" s="12"/>
      <c r="O6" s="12">
        <v>4</v>
      </c>
      <c r="P6" s="12"/>
      <c r="Q6" s="12"/>
      <c r="R6">
        <f>SUM(C6:Q6)</f>
        <v>12</v>
      </c>
    </row>
    <row r="7" spans="1:18">
      <c r="A7" s="5" t="s">
        <v>342</v>
      </c>
      <c r="B7" s="36" t="s">
        <v>343</v>
      </c>
      <c r="C7" s="5"/>
      <c r="D7" s="12"/>
      <c r="E7" s="12"/>
      <c r="F7" s="12"/>
      <c r="G7" s="12"/>
      <c r="H7" s="12">
        <v>1</v>
      </c>
      <c r="I7" s="12"/>
      <c r="J7" s="12"/>
      <c r="K7" s="12"/>
      <c r="L7" s="12"/>
      <c r="M7" s="12"/>
      <c r="N7" s="12"/>
      <c r="O7" s="12"/>
      <c r="P7" s="12"/>
      <c r="Q7" s="12"/>
      <c r="R7">
        <f t="shared" ref="R7:R73" si="0">SUM(C7:Q7)</f>
        <v>1</v>
      </c>
    </row>
    <row r="8" spans="1:18">
      <c r="A8" s="40" t="s">
        <v>344</v>
      </c>
      <c r="B8" s="36" t="s">
        <v>345</v>
      </c>
      <c r="C8" s="40"/>
      <c r="D8">
        <v>1</v>
      </c>
      <c r="R8">
        <f t="shared" si="0"/>
        <v>1</v>
      </c>
    </row>
    <row r="9" spans="1:18">
      <c r="A9" s="40" t="s">
        <v>346</v>
      </c>
      <c r="B9" s="46" t="s">
        <v>347</v>
      </c>
      <c r="C9" s="40"/>
      <c r="G9">
        <v>1</v>
      </c>
      <c r="R9">
        <f t="shared" si="0"/>
        <v>1</v>
      </c>
    </row>
    <row r="10" spans="1:18">
      <c r="A10" s="40" t="s">
        <v>348</v>
      </c>
      <c r="B10" s="46" t="s">
        <v>349</v>
      </c>
      <c r="C10" s="40"/>
      <c r="G10" s="47">
        <v>1</v>
      </c>
    </row>
    <row r="11" spans="1:18">
      <c r="A11" s="36" t="s">
        <v>350</v>
      </c>
      <c r="B11" s="36" t="s">
        <v>351</v>
      </c>
      <c r="F11">
        <v>1</v>
      </c>
      <c r="G11">
        <v>4</v>
      </c>
      <c r="R11">
        <f t="shared" si="0"/>
        <v>5</v>
      </c>
    </row>
    <row r="12" spans="1:18">
      <c r="A12" s="36" t="s">
        <v>352</v>
      </c>
      <c r="R12">
        <f t="shared" si="0"/>
        <v>0</v>
      </c>
    </row>
    <row r="13" spans="1:18">
      <c r="A13" s="36" t="s">
        <v>353</v>
      </c>
      <c r="B13" s="46" t="s">
        <v>354</v>
      </c>
      <c r="I13">
        <v>2</v>
      </c>
      <c r="R13">
        <f t="shared" si="0"/>
        <v>2</v>
      </c>
    </row>
    <row r="14" spans="1:18">
      <c r="A14" s="36" t="s">
        <v>355</v>
      </c>
      <c r="B14" s="36" t="s">
        <v>356</v>
      </c>
      <c r="G14">
        <v>4</v>
      </c>
      <c r="L14">
        <v>2</v>
      </c>
      <c r="P14">
        <v>1</v>
      </c>
      <c r="R14">
        <f t="shared" si="0"/>
        <v>7</v>
      </c>
    </row>
    <row r="15" spans="1:18">
      <c r="A15" s="36" t="s">
        <v>357</v>
      </c>
      <c r="B15" s="36" t="s">
        <v>358</v>
      </c>
      <c r="F15">
        <v>1</v>
      </c>
      <c r="R15">
        <f t="shared" si="0"/>
        <v>1</v>
      </c>
    </row>
    <row r="16" spans="1:18">
      <c r="A16" s="40" t="s">
        <v>359</v>
      </c>
      <c r="B16" s="36" t="s">
        <v>360</v>
      </c>
      <c r="C16" s="40"/>
      <c r="F16">
        <v>2</v>
      </c>
      <c r="G16">
        <v>5</v>
      </c>
      <c r="I16">
        <v>1</v>
      </c>
      <c r="K16">
        <v>2</v>
      </c>
      <c r="R16">
        <f t="shared" si="0"/>
        <v>10</v>
      </c>
    </row>
    <row r="17" spans="1:18">
      <c r="A17" s="36" t="s">
        <v>361</v>
      </c>
      <c r="B17" s="36" t="s">
        <v>362</v>
      </c>
      <c r="F17">
        <v>1</v>
      </c>
      <c r="G17">
        <v>6</v>
      </c>
      <c r="R17">
        <f t="shared" si="0"/>
        <v>7</v>
      </c>
    </row>
    <row r="18" spans="1:18">
      <c r="A18" s="46" t="s">
        <v>363</v>
      </c>
      <c r="B18" s="46" t="s">
        <v>364</v>
      </c>
      <c r="G18">
        <v>4</v>
      </c>
      <c r="R18">
        <f t="shared" si="0"/>
        <v>4</v>
      </c>
    </row>
    <row r="19" spans="1:18">
      <c r="A19" s="48" t="s">
        <v>365</v>
      </c>
      <c r="B19" s="49" t="s">
        <v>366</v>
      </c>
      <c r="P19">
        <v>1</v>
      </c>
      <c r="R19">
        <f t="shared" si="0"/>
        <v>1</v>
      </c>
    </row>
    <row r="20" spans="1:18">
      <c r="A20" s="46" t="s">
        <v>367</v>
      </c>
      <c r="B20" s="46" t="s">
        <v>368</v>
      </c>
      <c r="G20">
        <v>16</v>
      </c>
      <c r="R20">
        <f t="shared" si="0"/>
        <v>16</v>
      </c>
    </row>
    <row r="21" spans="1:18">
      <c r="A21" s="46" t="s">
        <v>369</v>
      </c>
      <c r="B21" t="s">
        <v>370</v>
      </c>
      <c r="E21">
        <v>16</v>
      </c>
    </row>
    <row r="22" spans="1:18">
      <c r="A22" s="36" t="s">
        <v>371</v>
      </c>
      <c r="B22" s="36" t="s">
        <v>372</v>
      </c>
      <c r="E22">
        <f>6+2+8</f>
        <v>16</v>
      </c>
      <c r="G22" s="50"/>
      <c r="L22">
        <v>1</v>
      </c>
      <c r="Q22">
        <v>1</v>
      </c>
      <c r="R22">
        <f t="shared" si="0"/>
        <v>18</v>
      </c>
    </row>
    <row r="23" spans="1:18" ht="29.1">
      <c r="A23" s="36" t="s">
        <v>373</v>
      </c>
      <c r="B23" s="36" t="s">
        <v>374</v>
      </c>
      <c r="E23">
        <f>2</f>
        <v>2</v>
      </c>
      <c r="F23">
        <v>2</v>
      </c>
      <c r="R23">
        <f t="shared" si="0"/>
        <v>4</v>
      </c>
    </row>
    <row r="24" spans="1:18" ht="29.1">
      <c r="A24" s="36" t="s">
        <v>375</v>
      </c>
      <c r="B24" s="36" t="s">
        <v>376</v>
      </c>
      <c r="F24">
        <v>8</v>
      </c>
      <c r="Q24">
        <v>5</v>
      </c>
      <c r="R24">
        <f t="shared" si="0"/>
        <v>13</v>
      </c>
    </row>
    <row r="25" spans="1:18">
      <c r="A25" s="40" t="s">
        <v>377</v>
      </c>
      <c r="B25" s="36" t="s">
        <v>378</v>
      </c>
      <c r="C25" s="40"/>
      <c r="E25">
        <f>14+14+2-(16)</f>
        <v>14</v>
      </c>
      <c r="M25">
        <v>4</v>
      </c>
      <c r="O25">
        <v>5</v>
      </c>
      <c r="R25">
        <f t="shared" si="0"/>
        <v>23</v>
      </c>
    </row>
    <row r="26" spans="1:18">
      <c r="A26" s="46" t="s">
        <v>379</v>
      </c>
      <c r="B26" s="46" t="s">
        <v>380</v>
      </c>
      <c r="F26">
        <v>10</v>
      </c>
      <c r="L26">
        <v>35</v>
      </c>
      <c r="Q26">
        <v>4</v>
      </c>
      <c r="R26">
        <f t="shared" si="0"/>
        <v>49</v>
      </c>
    </row>
    <row r="27" spans="1:18">
      <c r="A27" s="36" t="s">
        <v>381</v>
      </c>
      <c r="B27" s="36" t="s">
        <v>382</v>
      </c>
      <c r="F27">
        <v>1</v>
      </c>
      <c r="R27">
        <f t="shared" si="0"/>
        <v>1</v>
      </c>
    </row>
    <row r="28" spans="1:18">
      <c r="A28" s="36" t="s">
        <v>383</v>
      </c>
      <c r="B28" s="36" t="s">
        <v>384</v>
      </c>
      <c r="M28">
        <v>8</v>
      </c>
      <c r="O28">
        <v>3</v>
      </c>
      <c r="Q28">
        <v>1</v>
      </c>
      <c r="R28">
        <f t="shared" si="0"/>
        <v>12</v>
      </c>
    </row>
    <row r="29" spans="1:18">
      <c r="A29" s="36" t="s">
        <v>385</v>
      </c>
      <c r="B29" s="36" t="s">
        <v>386</v>
      </c>
      <c r="Q29">
        <v>1</v>
      </c>
      <c r="R29">
        <f t="shared" si="0"/>
        <v>1</v>
      </c>
    </row>
    <row r="30" spans="1:18">
      <c r="A30" s="36" t="s">
        <v>387</v>
      </c>
      <c r="B30" s="36" t="s">
        <v>388</v>
      </c>
      <c r="F30">
        <v>4</v>
      </c>
      <c r="R30">
        <f t="shared" si="0"/>
        <v>4</v>
      </c>
    </row>
    <row r="31" spans="1:18">
      <c r="A31" s="36" t="s">
        <v>389</v>
      </c>
      <c r="B31" s="36" t="s">
        <v>390</v>
      </c>
      <c r="F31">
        <v>1</v>
      </c>
      <c r="R31">
        <f t="shared" si="0"/>
        <v>1</v>
      </c>
    </row>
    <row r="32" spans="1:18" ht="29.1">
      <c r="A32" s="36" t="s">
        <v>391</v>
      </c>
      <c r="M32">
        <v>10</v>
      </c>
      <c r="O32">
        <v>13</v>
      </c>
      <c r="R32">
        <f t="shared" si="0"/>
        <v>23</v>
      </c>
    </row>
    <row r="33" spans="1:18" ht="29.1">
      <c r="A33" s="36" t="s">
        <v>392</v>
      </c>
      <c r="N33">
        <v>14</v>
      </c>
      <c r="R33">
        <f t="shared" si="0"/>
        <v>14</v>
      </c>
    </row>
    <row r="34" spans="1:18">
      <c r="A34" s="36" t="s">
        <v>393</v>
      </c>
      <c r="B34" s="36" t="s">
        <v>394</v>
      </c>
      <c r="R34">
        <f t="shared" si="0"/>
        <v>0</v>
      </c>
    </row>
    <row r="35" spans="1:18">
      <c r="A35" s="36" t="s">
        <v>395</v>
      </c>
      <c r="B35" s="36" t="s">
        <v>396</v>
      </c>
      <c r="R35">
        <f t="shared" si="0"/>
        <v>0</v>
      </c>
    </row>
    <row r="36" spans="1:18">
      <c r="A36" s="36" t="s">
        <v>397</v>
      </c>
      <c r="B36" s="36" t="s">
        <v>398</v>
      </c>
      <c r="M36">
        <v>6</v>
      </c>
      <c r="N36">
        <v>6</v>
      </c>
      <c r="R36">
        <f t="shared" si="0"/>
        <v>12</v>
      </c>
    </row>
    <row r="37" spans="1:18">
      <c r="A37" s="36" t="s">
        <v>399</v>
      </c>
      <c r="B37" s="36" t="s">
        <v>400</v>
      </c>
      <c r="F37">
        <v>3</v>
      </c>
      <c r="R37">
        <f t="shared" si="0"/>
        <v>3</v>
      </c>
    </row>
    <row r="38" spans="1:18">
      <c r="A38" s="40" t="s">
        <v>401</v>
      </c>
      <c r="B38" s="36" t="s">
        <v>402</v>
      </c>
      <c r="C38" s="40"/>
      <c r="E38">
        <f>8+2+2+15+13+2+17+17-(31+17)</f>
        <v>28</v>
      </c>
      <c r="R38">
        <f t="shared" si="0"/>
        <v>28</v>
      </c>
    </row>
    <row r="39" spans="1:18" ht="43.5">
      <c r="A39" s="36" t="s">
        <v>403</v>
      </c>
      <c r="B39" s="46" t="s">
        <v>398</v>
      </c>
      <c r="F39">
        <v>3</v>
      </c>
      <c r="R39">
        <f t="shared" si="0"/>
        <v>3</v>
      </c>
    </row>
    <row r="40" spans="1:18">
      <c r="A40" s="40" t="s">
        <v>404</v>
      </c>
      <c r="B40" s="36" t="s">
        <v>405</v>
      </c>
      <c r="C40" s="40"/>
      <c r="E40">
        <f>4+2</f>
        <v>6</v>
      </c>
      <c r="R40">
        <f t="shared" si="0"/>
        <v>6</v>
      </c>
    </row>
    <row r="41" spans="1:18">
      <c r="A41" s="40" t="s">
        <v>406</v>
      </c>
      <c r="B41" s="36" t="s">
        <v>407</v>
      </c>
      <c r="C41" s="40">
        <v>1</v>
      </c>
      <c r="G41">
        <v>17</v>
      </c>
      <c r="P41">
        <v>1</v>
      </c>
      <c r="Q41">
        <v>3</v>
      </c>
      <c r="R41">
        <f t="shared" si="0"/>
        <v>22</v>
      </c>
    </row>
    <row r="42" spans="1:18">
      <c r="A42" s="46" t="s">
        <v>408</v>
      </c>
      <c r="B42" s="46" t="s">
        <v>409</v>
      </c>
      <c r="G42">
        <v>7</v>
      </c>
      <c r="R42">
        <f t="shared" si="0"/>
        <v>7</v>
      </c>
    </row>
    <row r="43" spans="1:18">
      <c r="A43" s="36" t="s">
        <v>410</v>
      </c>
      <c r="B43" s="46" t="s">
        <v>411</v>
      </c>
      <c r="G43">
        <v>1</v>
      </c>
      <c r="R43">
        <f t="shared" si="0"/>
        <v>1</v>
      </c>
    </row>
    <row r="44" spans="1:18">
      <c r="A44" s="40" t="s">
        <v>412</v>
      </c>
      <c r="B44" s="36" t="s">
        <v>413</v>
      </c>
      <c r="C44" s="40"/>
      <c r="G44">
        <v>1</v>
      </c>
      <c r="R44">
        <f t="shared" si="0"/>
        <v>1</v>
      </c>
    </row>
    <row r="45" spans="1:18">
      <c r="A45" s="36" t="s">
        <v>414</v>
      </c>
      <c r="B45" s="46" t="s">
        <v>415</v>
      </c>
      <c r="G45">
        <v>14</v>
      </c>
      <c r="R45">
        <f t="shared" si="0"/>
        <v>14</v>
      </c>
    </row>
    <row r="46" spans="1:18">
      <c r="A46" s="36" t="s">
        <v>416</v>
      </c>
      <c r="B46" s="46" t="s">
        <v>417</v>
      </c>
      <c r="G46">
        <v>15</v>
      </c>
      <c r="R46">
        <f t="shared" si="0"/>
        <v>15</v>
      </c>
    </row>
    <row r="47" spans="1:18">
      <c r="A47" s="36" t="s">
        <v>418</v>
      </c>
      <c r="B47" s="36" t="s">
        <v>419</v>
      </c>
      <c r="F47">
        <v>4</v>
      </c>
      <c r="M47">
        <v>12</v>
      </c>
      <c r="N47">
        <v>32</v>
      </c>
      <c r="O47">
        <v>6</v>
      </c>
      <c r="R47">
        <f t="shared" si="0"/>
        <v>54</v>
      </c>
    </row>
    <row r="48" spans="1:18">
      <c r="A48" s="36" t="s">
        <v>420</v>
      </c>
      <c r="B48" s="46" t="s">
        <v>421</v>
      </c>
      <c r="G48">
        <v>4</v>
      </c>
      <c r="R48">
        <f t="shared" si="0"/>
        <v>4</v>
      </c>
    </row>
    <row r="49" spans="1:18">
      <c r="A49" s="36" t="s">
        <v>422</v>
      </c>
      <c r="B49" s="36" t="s">
        <v>423</v>
      </c>
      <c r="F49">
        <v>2</v>
      </c>
      <c r="L49">
        <v>3</v>
      </c>
      <c r="N49">
        <v>16</v>
      </c>
      <c r="R49">
        <f t="shared" si="0"/>
        <v>21</v>
      </c>
    </row>
    <row r="50" spans="1:18">
      <c r="A50" s="36" t="s">
        <v>424</v>
      </c>
      <c r="B50" s="46" t="s">
        <v>425</v>
      </c>
      <c r="G50">
        <v>5</v>
      </c>
      <c r="R50">
        <f t="shared" si="0"/>
        <v>5</v>
      </c>
    </row>
    <row r="51" spans="1:18" ht="29.1">
      <c r="A51" s="36" t="s">
        <v>426</v>
      </c>
      <c r="B51" s="36" t="s">
        <v>427</v>
      </c>
      <c r="R51">
        <f t="shared" si="0"/>
        <v>0</v>
      </c>
    </row>
    <row r="52" spans="1:18">
      <c r="A52" s="36" t="s">
        <v>428</v>
      </c>
      <c r="B52" s="46" t="s">
        <v>429</v>
      </c>
      <c r="G52">
        <v>1</v>
      </c>
      <c r="R52">
        <f t="shared" si="0"/>
        <v>1</v>
      </c>
    </row>
    <row r="53" spans="1:18">
      <c r="A53" s="36" t="s">
        <v>430</v>
      </c>
      <c r="B53" s="46" t="s">
        <v>431</v>
      </c>
      <c r="G53">
        <v>32</v>
      </c>
      <c r="R53">
        <f t="shared" si="0"/>
        <v>32</v>
      </c>
    </row>
    <row r="54" spans="1:18">
      <c r="A54" s="36" t="s">
        <v>432</v>
      </c>
      <c r="B54" s="51" t="s">
        <v>433</v>
      </c>
      <c r="G54" s="50">
        <v>1</v>
      </c>
      <c r="R54">
        <f t="shared" si="0"/>
        <v>1</v>
      </c>
    </row>
    <row r="55" spans="1:18">
      <c r="A55" s="36" t="s">
        <v>434</v>
      </c>
      <c r="B55" s="36" t="s">
        <v>435</v>
      </c>
      <c r="G55">
        <v>2</v>
      </c>
      <c r="R55">
        <f t="shared" si="0"/>
        <v>2</v>
      </c>
    </row>
    <row r="56" spans="1:18">
      <c r="A56" s="36" t="s">
        <v>436</v>
      </c>
      <c r="B56" s="36" t="s">
        <v>437</v>
      </c>
      <c r="G56">
        <v>1</v>
      </c>
      <c r="R56">
        <f t="shared" si="0"/>
        <v>1</v>
      </c>
    </row>
    <row r="57" spans="1:18">
      <c r="A57" s="36" t="s">
        <v>438</v>
      </c>
      <c r="B57" s="36" t="s">
        <v>423</v>
      </c>
      <c r="F57">
        <v>9</v>
      </c>
      <c r="R57">
        <f t="shared" si="0"/>
        <v>9</v>
      </c>
    </row>
    <row r="58" spans="1:18">
      <c r="A58" s="36" t="s">
        <v>439</v>
      </c>
      <c r="B58" s="46" t="s">
        <v>440</v>
      </c>
      <c r="G58">
        <v>1</v>
      </c>
      <c r="J58">
        <v>1</v>
      </c>
      <c r="R58">
        <f t="shared" si="0"/>
        <v>2</v>
      </c>
    </row>
    <row r="59" spans="1:18">
      <c r="A59" s="40" t="s">
        <v>441</v>
      </c>
      <c r="B59" s="36" t="s">
        <v>442</v>
      </c>
      <c r="C59" s="40"/>
      <c r="E59">
        <f>3</f>
        <v>3</v>
      </c>
      <c r="F59">
        <v>2</v>
      </c>
      <c r="R59">
        <f t="shared" si="0"/>
        <v>5</v>
      </c>
    </row>
    <row r="60" spans="1:18">
      <c r="A60" s="36" t="s">
        <v>443</v>
      </c>
      <c r="B60" s="36" t="s">
        <v>444</v>
      </c>
      <c r="Q60">
        <f>28-(9+5+3+3)</f>
        <v>8</v>
      </c>
      <c r="R60">
        <f t="shared" si="0"/>
        <v>8</v>
      </c>
    </row>
    <row r="61" spans="1:18">
      <c r="A61" s="40" t="s">
        <v>445</v>
      </c>
      <c r="B61" s="36" t="s">
        <v>446</v>
      </c>
      <c r="C61" s="40"/>
      <c r="D61">
        <v>1</v>
      </c>
      <c r="R61">
        <f t="shared" si="0"/>
        <v>1</v>
      </c>
    </row>
    <row r="62" spans="1:18">
      <c r="A62" s="46" t="s">
        <v>447</v>
      </c>
      <c r="B62" s="46" t="s">
        <v>448</v>
      </c>
      <c r="G62">
        <v>2</v>
      </c>
      <c r="R62">
        <f t="shared" si="0"/>
        <v>2</v>
      </c>
    </row>
    <row r="63" spans="1:18">
      <c r="A63" s="46" t="s">
        <v>449</v>
      </c>
      <c r="B63" s="46" t="s">
        <v>450</v>
      </c>
      <c r="G63">
        <v>1</v>
      </c>
      <c r="R63">
        <f t="shared" si="0"/>
        <v>1</v>
      </c>
    </row>
    <row r="64" spans="1:18">
      <c r="A64" s="46" t="s">
        <v>451</v>
      </c>
      <c r="B64" s="46" t="s">
        <v>452</v>
      </c>
      <c r="K64">
        <v>2</v>
      </c>
      <c r="R64">
        <f t="shared" si="0"/>
        <v>2</v>
      </c>
    </row>
    <row r="65" spans="1:18">
      <c r="A65" s="46" t="s">
        <v>453</v>
      </c>
      <c r="B65" s="46" t="s">
        <v>454</v>
      </c>
      <c r="G65">
        <v>3</v>
      </c>
      <c r="R65">
        <f t="shared" si="0"/>
        <v>3</v>
      </c>
    </row>
    <row r="66" spans="1:18">
      <c r="A66" s="40" t="s">
        <v>455</v>
      </c>
      <c r="B66" s="36" t="s">
        <v>456</v>
      </c>
      <c r="C66" s="40">
        <v>1</v>
      </c>
      <c r="R66">
        <f t="shared" si="0"/>
        <v>1</v>
      </c>
    </row>
    <row r="67" spans="1:18">
      <c r="A67" s="40" t="s">
        <v>457</v>
      </c>
      <c r="B67" s="46" t="s">
        <v>458</v>
      </c>
      <c r="C67" s="40"/>
      <c r="G67">
        <v>1</v>
      </c>
      <c r="R67">
        <f t="shared" si="0"/>
        <v>1</v>
      </c>
    </row>
    <row r="68" spans="1:18">
      <c r="A68" s="40" t="s">
        <v>459</v>
      </c>
      <c r="B68" s="36" t="s">
        <v>460</v>
      </c>
      <c r="C68" s="40"/>
      <c r="D68">
        <v>1</v>
      </c>
      <c r="G68">
        <v>25</v>
      </c>
      <c r="R68">
        <f t="shared" si="0"/>
        <v>26</v>
      </c>
    </row>
    <row r="69" spans="1:18">
      <c r="A69" s="36" t="s">
        <v>461</v>
      </c>
      <c r="B69" s="46" t="s">
        <v>462</v>
      </c>
      <c r="G69">
        <v>15</v>
      </c>
      <c r="R69">
        <f t="shared" si="0"/>
        <v>15</v>
      </c>
    </row>
    <row r="70" spans="1:18">
      <c r="A70" s="36" t="s">
        <v>463</v>
      </c>
      <c r="B70" s="46" t="s">
        <v>464</v>
      </c>
      <c r="G70">
        <v>1</v>
      </c>
      <c r="R70">
        <f t="shared" si="0"/>
        <v>1</v>
      </c>
    </row>
    <row r="71" spans="1:18">
      <c r="A71" s="36" t="s">
        <v>465</v>
      </c>
      <c r="B71" s="46" t="s">
        <v>466</v>
      </c>
      <c r="N71">
        <v>3</v>
      </c>
      <c r="R71">
        <f t="shared" si="0"/>
        <v>3</v>
      </c>
    </row>
    <row r="72" spans="1:18">
      <c r="A72" t="s">
        <v>467</v>
      </c>
      <c r="B72" s="46" t="s">
        <v>468</v>
      </c>
      <c r="P72">
        <v>5</v>
      </c>
      <c r="R72">
        <f t="shared" si="0"/>
        <v>5</v>
      </c>
    </row>
    <row r="73" spans="1:18">
      <c r="A73" s="36" t="s">
        <v>469</v>
      </c>
      <c r="B73" s="46" t="s">
        <v>470</v>
      </c>
      <c r="H73">
        <v>1</v>
      </c>
      <c r="I73">
        <v>1</v>
      </c>
      <c r="R73">
        <f t="shared" si="0"/>
        <v>2</v>
      </c>
    </row>
    <row r="74" spans="1:18">
      <c r="A74" s="36" t="s">
        <v>471</v>
      </c>
      <c r="B74" s="46" t="s">
        <v>472</v>
      </c>
      <c r="G74">
        <v>27</v>
      </c>
      <c r="R74">
        <f t="shared" ref="R74:R140" si="1">SUM(C74:Q74)</f>
        <v>27</v>
      </c>
    </row>
    <row r="75" spans="1:18">
      <c r="A75" s="36" t="s">
        <v>473</v>
      </c>
      <c r="B75" s="46" t="s">
        <v>474</v>
      </c>
      <c r="G75">
        <v>3</v>
      </c>
      <c r="R75">
        <f t="shared" si="1"/>
        <v>3</v>
      </c>
    </row>
    <row r="76" spans="1:18">
      <c r="A76" s="36" t="s">
        <v>475</v>
      </c>
      <c r="B76" s="46" t="s">
        <v>476</v>
      </c>
      <c r="G76">
        <v>18</v>
      </c>
      <c r="R76">
        <f t="shared" si="1"/>
        <v>18</v>
      </c>
    </row>
    <row r="77" spans="1:18">
      <c r="A77" s="36" t="s">
        <v>477</v>
      </c>
      <c r="B77" s="46" t="s">
        <v>478</v>
      </c>
      <c r="G77">
        <v>3</v>
      </c>
      <c r="R77">
        <f t="shared" si="1"/>
        <v>3</v>
      </c>
    </row>
    <row r="78" spans="1:18">
      <c r="A78" s="36" t="s">
        <v>479</v>
      </c>
      <c r="B78" s="46" t="s">
        <v>480</v>
      </c>
      <c r="G78">
        <v>9</v>
      </c>
      <c r="I78">
        <v>1</v>
      </c>
      <c r="R78">
        <f t="shared" si="1"/>
        <v>10</v>
      </c>
    </row>
    <row r="79" spans="1:18">
      <c r="A79" s="36" t="s">
        <v>481</v>
      </c>
      <c r="B79" s="52" t="s">
        <v>482</v>
      </c>
      <c r="G79">
        <v>4</v>
      </c>
      <c r="R79">
        <f t="shared" si="1"/>
        <v>4</v>
      </c>
    </row>
    <row r="80" spans="1:18">
      <c r="A80" s="36" t="s">
        <v>483</v>
      </c>
      <c r="B80" s="52" t="s">
        <v>484</v>
      </c>
      <c r="G80">
        <v>1</v>
      </c>
      <c r="R80">
        <f t="shared" si="1"/>
        <v>1</v>
      </c>
    </row>
    <row r="81" spans="1:18">
      <c r="A81" s="36" t="s">
        <v>485</v>
      </c>
      <c r="B81" s="46" t="s">
        <v>486</v>
      </c>
      <c r="G81">
        <v>23</v>
      </c>
      <c r="I81">
        <v>1</v>
      </c>
      <c r="Q81">
        <v>4</v>
      </c>
      <c r="R81">
        <f t="shared" si="1"/>
        <v>28</v>
      </c>
    </row>
    <row r="82" spans="1:18">
      <c r="A82" s="36" t="s">
        <v>487</v>
      </c>
      <c r="B82" s="46" t="s">
        <v>488</v>
      </c>
      <c r="G82">
        <v>1</v>
      </c>
      <c r="R82">
        <f t="shared" si="1"/>
        <v>1</v>
      </c>
    </row>
    <row r="83" spans="1:18">
      <c r="A83" s="36" t="s">
        <v>489</v>
      </c>
      <c r="B83" s="53" t="s">
        <v>490</v>
      </c>
      <c r="G83">
        <v>31</v>
      </c>
      <c r="R83">
        <f t="shared" si="1"/>
        <v>31</v>
      </c>
    </row>
    <row r="84" spans="1:18">
      <c r="A84" s="36" t="s">
        <v>491</v>
      </c>
      <c r="B84" s="54" t="s">
        <v>492</v>
      </c>
      <c r="G84">
        <v>6</v>
      </c>
      <c r="R84">
        <f t="shared" si="1"/>
        <v>6</v>
      </c>
    </row>
    <row r="85" spans="1:18">
      <c r="A85" s="36" t="s">
        <v>493</v>
      </c>
      <c r="B85" s="52" t="s">
        <v>494</v>
      </c>
      <c r="G85">
        <v>4</v>
      </c>
      <c r="R85">
        <f t="shared" si="1"/>
        <v>4</v>
      </c>
    </row>
    <row r="86" spans="1:18">
      <c r="A86" s="36" t="s">
        <v>495</v>
      </c>
      <c r="B86" s="53" t="s">
        <v>496</v>
      </c>
      <c r="G86">
        <v>1</v>
      </c>
      <c r="R86">
        <f t="shared" si="1"/>
        <v>1</v>
      </c>
    </row>
    <row r="87" spans="1:18">
      <c r="A87" s="36" t="s">
        <v>497</v>
      </c>
      <c r="B87" s="53" t="s">
        <v>498</v>
      </c>
      <c r="I87">
        <v>1</v>
      </c>
    </row>
    <row r="88" spans="1:18">
      <c r="A88" s="36" t="s">
        <v>499</v>
      </c>
      <c r="B88" s="46" t="s">
        <v>500</v>
      </c>
      <c r="G88">
        <v>4</v>
      </c>
      <c r="R88">
        <f t="shared" si="1"/>
        <v>4</v>
      </c>
    </row>
    <row r="89" spans="1:18">
      <c r="A89" s="40" t="s">
        <v>501</v>
      </c>
      <c r="B89" s="36" t="s">
        <v>502</v>
      </c>
      <c r="C89" s="40"/>
      <c r="G89">
        <v>4</v>
      </c>
      <c r="R89">
        <f t="shared" si="1"/>
        <v>4</v>
      </c>
    </row>
    <row r="90" spans="1:18">
      <c r="A90" t="s">
        <v>503</v>
      </c>
      <c r="B90" s="46" t="s">
        <v>504</v>
      </c>
      <c r="C90" s="40"/>
      <c r="P90">
        <v>1</v>
      </c>
      <c r="R90">
        <f t="shared" si="1"/>
        <v>1</v>
      </c>
    </row>
    <row r="91" spans="1:18">
      <c r="A91" s="40" t="s">
        <v>505</v>
      </c>
      <c r="B91" s="36" t="s">
        <v>506</v>
      </c>
      <c r="C91" s="40"/>
      <c r="R91">
        <f t="shared" si="1"/>
        <v>0</v>
      </c>
    </row>
    <row r="92" spans="1:18" ht="29.1">
      <c r="A92" s="40" t="s">
        <v>507</v>
      </c>
      <c r="B92" s="36" t="s">
        <v>508</v>
      </c>
      <c r="C92" s="40"/>
      <c r="E92">
        <f>13+2</f>
        <v>15</v>
      </c>
      <c r="L92">
        <v>1</v>
      </c>
      <c r="R92">
        <f t="shared" si="1"/>
        <v>16</v>
      </c>
    </row>
    <row r="93" spans="1:18" ht="29.1">
      <c r="A93" s="36" t="s">
        <v>509</v>
      </c>
      <c r="B93" s="36" t="s">
        <v>510</v>
      </c>
      <c r="F93">
        <v>1</v>
      </c>
      <c r="R93">
        <f t="shared" si="1"/>
        <v>1</v>
      </c>
    </row>
    <row r="94" spans="1:18">
      <c r="A94" s="36" t="s">
        <v>511</v>
      </c>
      <c r="B94" s="46" t="s">
        <v>512</v>
      </c>
      <c r="I94">
        <v>1</v>
      </c>
      <c r="R94">
        <f t="shared" si="1"/>
        <v>1</v>
      </c>
    </row>
    <row r="95" spans="1:18">
      <c r="A95" s="40" t="s">
        <v>513</v>
      </c>
      <c r="B95" s="36" t="s">
        <v>514</v>
      </c>
      <c r="C95" s="40"/>
      <c r="D95">
        <v>1</v>
      </c>
      <c r="G95">
        <v>31</v>
      </c>
      <c r="R95">
        <f t="shared" si="1"/>
        <v>32</v>
      </c>
    </row>
    <row r="96" spans="1:18">
      <c r="A96" s="36" t="s">
        <v>515</v>
      </c>
      <c r="B96" s="46" t="s">
        <v>516</v>
      </c>
      <c r="G96">
        <v>11</v>
      </c>
      <c r="R96">
        <f t="shared" si="1"/>
        <v>11</v>
      </c>
    </row>
    <row r="97" spans="1:18">
      <c r="A97" s="36" t="s">
        <v>517</v>
      </c>
      <c r="B97" s="46" t="s">
        <v>518</v>
      </c>
      <c r="L97">
        <v>6</v>
      </c>
      <c r="R97">
        <f t="shared" si="1"/>
        <v>6</v>
      </c>
    </row>
    <row r="98" spans="1:18">
      <c r="A98" s="36" t="s">
        <v>519</v>
      </c>
      <c r="B98" s="46" t="s">
        <v>520</v>
      </c>
      <c r="Q98">
        <v>4</v>
      </c>
      <c r="R98">
        <f t="shared" si="1"/>
        <v>4</v>
      </c>
    </row>
    <row r="99" spans="1:18">
      <c r="A99" s="46" t="s">
        <v>521</v>
      </c>
      <c r="B99" s="46" t="s">
        <v>522</v>
      </c>
      <c r="G99">
        <f>5+1</f>
        <v>6</v>
      </c>
      <c r="R99">
        <f t="shared" si="1"/>
        <v>6</v>
      </c>
    </row>
    <row r="100" spans="1:18">
      <c r="A100" s="46" t="s">
        <v>523</v>
      </c>
      <c r="B100" s="46" t="s">
        <v>524</v>
      </c>
      <c r="G100">
        <v>10</v>
      </c>
      <c r="L100">
        <v>7</v>
      </c>
      <c r="P100">
        <v>19</v>
      </c>
      <c r="Q100">
        <v>3</v>
      </c>
      <c r="R100">
        <f t="shared" si="1"/>
        <v>39</v>
      </c>
    </row>
    <row r="101" spans="1:18">
      <c r="A101" s="46" t="s">
        <v>525</v>
      </c>
      <c r="B101" s="46" t="s">
        <v>526</v>
      </c>
      <c r="G101">
        <v>3</v>
      </c>
      <c r="J101">
        <f>1+1</f>
        <v>2</v>
      </c>
      <c r="R101">
        <f t="shared" si="1"/>
        <v>5</v>
      </c>
    </row>
    <row r="102" spans="1:18">
      <c r="A102" s="46" t="s">
        <v>527</v>
      </c>
      <c r="B102" s="46" t="s">
        <v>528</v>
      </c>
      <c r="G102">
        <v>3</v>
      </c>
      <c r="R102">
        <f t="shared" si="1"/>
        <v>3</v>
      </c>
    </row>
    <row r="103" spans="1:18">
      <c r="A103" s="40" t="s">
        <v>529</v>
      </c>
      <c r="B103" s="36" t="s">
        <v>530</v>
      </c>
      <c r="C103" s="40"/>
      <c r="E103">
        <f>73+6+3+2+2+3-(83)</f>
        <v>6</v>
      </c>
      <c r="F103">
        <v>2</v>
      </c>
      <c r="L103">
        <v>30</v>
      </c>
      <c r="M103">
        <v>14</v>
      </c>
      <c r="N103">
        <v>45</v>
      </c>
      <c r="O103">
        <v>14</v>
      </c>
      <c r="R103">
        <f t="shared" si="1"/>
        <v>111</v>
      </c>
    </row>
    <row r="104" spans="1:18">
      <c r="A104" s="36" t="s">
        <v>531</v>
      </c>
      <c r="B104" s="36" t="s">
        <v>532</v>
      </c>
      <c r="F104">
        <v>2</v>
      </c>
      <c r="R104">
        <f t="shared" si="1"/>
        <v>2</v>
      </c>
    </row>
    <row r="105" spans="1:18">
      <c r="A105" s="36" t="s">
        <v>533</v>
      </c>
      <c r="B105" s="36" t="s">
        <v>534</v>
      </c>
      <c r="F105">
        <v>1</v>
      </c>
      <c r="G105">
        <v>3</v>
      </c>
      <c r="R105">
        <f t="shared" si="1"/>
        <v>4</v>
      </c>
    </row>
    <row r="106" spans="1:18" ht="29.1">
      <c r="A106" s="36" t="s">
        <v>535</v>
      </c>
      <c r="B106" s="36" t="s">
        <v>536</v>
      </c>
      <c r="R106">
        <f t="shared" si="1"/>
        <v>0</v>
      </c>
    </row>
    <row r="107" spans="1:18" ht="29.1">
      <c r="A107" s="36" t="s">
        <v>537</v>
      </c>
      <c r="B107" s="36" t="s">
        <v>538</v>
      </c>
      <c r="R107">
        <f t="shared" si="1"/>
        <v>0</v>
      </c>
    </row>
    <row r="108" spans="1:18">
      <c r="A108" s="46" t="s">
        <v>539</v>
      </c>
      <c r="B108" s="46" t="s">
        <v>540</v>
      </c>
      <c r="G108">
        <v>1</v>
      </c>
      <c r="I108">
        <v>1</v>
      </c>
      <c r="K108">
        <v>2</v>
      </c>
      <c r="R108">
        <f t="shared" si="1"/>
        <v>4</v>
      </c>
    </row>
    <row r="109" spans="1:18">
      <c r="A109" s="36" t="s">
        <v>541</v>
      </c>
      <c r="B109" s="36" t="s">
        <v>542</v>
      </c>
      <c r="R109">
        <f t="shared" si="1"/>
        <v>0</v>
      </c>
    </row>
    <row r="110" spans="1:18">
      <c r="A110" s="46" t="s">
        <v>543</v>
      </c>
      <c r="B110" s="46" t="s">
        <v>544</v>
      </c>
      <c r="E110">
        <v>31</v>
      </c>
      <c r="G110">
        <f>8+1</f>
        <v>9</v>
      </c>
      <c r="R110">
        <f t="shared" si="1"/>
        <v>40</v>
      </c>
    </row>
    <row r="111" spans="1:18">
      <c r="A111" s="46" t="s">
        <v>545</v>
      </c>
      <c r="B111" s="46" t="s">
        <v>546</v>
      </c>
      <c r="G111">
        <v>24</v>
      </c>
      <c r="R111">
        <f t="shared" si="1"/>
        <v>24</v>
      </c>
    </row>
    <row r="112" spans="1:18">
      <c r="A112" s="46" t="s">
        <v>547</v>
      </c>
      <c r="B112" s="46" t="s">
        <v>548</v>
      </c>
      <c r="G112">
        <v>1</v>
      </c>
      <c r="R112">
        <f t="shared" si="1"/>
        <v>1</v>
      </c>
    </row>
    <row r="113" spans="1:18">
      <c r="A113" s="40" t="s">
        <v>549</v>
      </c>
      <c r="B113" s="36" t="s">
        <v>550</v>
      </c>
      <c r="C113" s="40">
        <v>1</v>
      </c>
      <c r="G113">
        <f>4+1</f>
        <v>5</v>
      </c>
      <c r="R113">
        <f t="shared" si="1"/>
        <v>6</v>
      </c>
    </row>
    <row r="114" spans="1:18">
      <c r="A114" s="46" t="s">
        <v>551</v>
      </c>
      <c r="B114" s="46" t="s">
        <v>552</v>
      </c>
      <c r="F114">
        <v>1</v>
      </c>
      <c r="G114">
        <v>15</v>
      </c>
      <c r="R114">
        <f t="shared" si="1"/>
        <v>16</v>
      </c>
    </row>
    <row r="115" spans="1:18">
      <c r="A115" s="46" t="s">
        <v>553</v>
      </c>
      <c r="B115" s="46" t="s">
        <v>554</v>
      </c>
      <c r="G115">
        <v>9</v>
      </c>
      <c r="R115">
        <f t="shared" si="1"/>
        <v>9</v>
      </c>
    </row>
    <row r="116" spans="1:18">
      <c r="A116" s="46" t="s">
        <v>555</v>
      </c>
      <c r="B116" s="46" t="s">
        <v>556</v>
      </c>
      <c r="G116">
        <v>2</v>
      </c>
      <c r="R116">
        <f t="shared" si="1"/>
        <v>2</v>
      </c>
    </row>
    <row r="117" spans="1:18">
      <c r="A117" s="46" t="s">
        <v>557</v>
      </c>
      <c r="B117" s="46" t="s">
        <v>558</v>
      </c>
      <c r="G117">
        <v>1</v>
      </c>
      <c r="R117">
        <f t="shared" si="1"/>
        <v>1</v>
      </c>
    </row>
    <row r="118" spans="1:18">
      <c r="A118" s="46" t="s">
        <v>559</v>
      </c>
      <c r="B118" s="46" t="s">
        <v>560</v>
      </c>
      <c r="G118">
        <v>2</v>
      </c>
      <c r="R118">
        <f t="shared" si="1"/>
        <v>2</v>
      </c>
    </row>
    <row r="119" spans="1:18">
      <c r="A119" s="46" t="s">
        <v>561</v>
      </c>
      <c r="B119" s="46" t="s">
        <v>562</v>
      </c>
      <c r="G119">
        <v>2</v>
      </c>
      <c r="R119">
        <f t="shared" si="1"/>
        <v>2</v>
      </c>
    </row>
    <row r="120" spans="1:18">
      <c r="A120" s="40" t="s">
        <v>563</v>
      </c>
      <c r="B120" s="36" t="s">
        <v>564</v>
      </c>
      <c r="C120" s="40"/>
      <c r="D120">
        <v>1</v>
      </c>
      <c r="E120">
        <v>83</v>
      </c>
      <c r="G120">
        <v>94</v>
      </c>
      <c r="I120">
        <f>1+1</f>
        <v>2</v>
      </c>
      <c r="K120">
        <v>7</v>
      </c>
      <c r="Q120">
        <v>7</v>
      </c>
      <c r="R120">
        <f t="shared" si="1"/>
        <v>194</v>
      </c>
    </row>
    <row r="121" spans="1:18">
      <c r="A121" s="40" t="s">
        <v>565</v>
      </c>
      <c r="B121" s="46" t="s">
        <v>566</v>
      </c>
      <c r="C121" s="40"/>
      <c r="G121">
        <v>1</v>
      </c>
      <c r="R121">
        <f t="shared" si="1"/>
        <v>1</v>
      </c>
    </row>
    <row r="122" spans="1:18">
      <c r="A122" s="46" t="s">
        <v>567</v>
      </c>
      <c r="B122" s="46" t="s">
        <v>568</v>
      </c>
      <c r="G122">
        <v>1</v>
      </c>
      <c r="R122">
        <f t="shared" si="1"/>
        <v>1</v>
      </c>
    </row>
    <row r="123" spans="1:18">
      <c r="A123" s="46" t="s">
        <v>569</v>
      </c>
      <c r="B123" s="46" t="s">
        <v>570</v>
      </c>
      <c r="G123">
        <v>3</v>
      </c>
      <c r="R123">
        <f t="shared" si="1"/>
        <v>3</v>
      </c>
    </row>
    <row r="124" spans="1:18">
      <c r="A124" s="46" t="s">
        <v>571</v>
      </c>
      <c r="B124" s="46" t="s">
        <v>572</v>
      </c>
      <c r="G124">
        <v>4</v>
      </c>
      <c r="R124">
        <f t="shared" si="1"/>
        <v>4</v>
      </c>
    </row>
    <row r="125" spans="1:18">
      <c r="A125" s="46" t="s">
        <v>573</v>
      </c>
      <c r="B125" s="51" t="s">
        <v>574</v>
      </c>
      <c r="K125">
        <v>1</v>
      </c>
    </row>
    <row r="126" spans="1:18">
      <c r="A126" s="46" t="s">
        <v>575</v>
      </c>
      <c r="B126" s="46" t="s">
        <v>576</v>
      </c>
      <c r="G126">
        <v>2</v>
      </c>
      <c r="H126">
        <v>1</v>
      </c>
      <c r="R126">
        <f t="shared" si="1"/>
        <v>3</v>
      </c>
    </row>
    <row r="127" spans="1:18">
      <c r="A127" s="46" t="s">
        <v>577</v>
      </c>
      <c r="B127" s="46" t="s">
        <v>578</v>
      </c>
      <c r="G127">
        <v>4</v>
      </c>
      <c r="R127">
        <f t="shared" si="1"/>
        <v>4</v>
      </c>
    </row>
    <row r="128" spans="1:18">
      <c r="A128" s="36" t="s">
        <v>579</v>
      </c>
      <c r="B128" s="36" t="s">
        <v>580</v>
      </c>
      <c r="F128">
        <v>3</v>
      </c>
      <c r="R128">
        <f t="shared" si="1"/>
        <v>3</v>
      </c>
    </row>
    <row r="129" spans="1:20">
      <c r="A129" s="36" t="s">
        <v>581</v>
      </c>
      <c r="B129" s="36" t="s">
        <v>582</v>
      </c>
      <c r="G129">
        <v>1</v>
      </c>
      <c r="R129">
        <f t="shared" si="1"/>
        <v>1</v>
      </c>
    </row>
    <row r="130" spans="1:20">
      <c r="A130" s="36" t="s">
        <v>583</v>
      </c>
      <c r="B130" s="36" t="s">
        <v>584</v>
      </c>
      <c r="L130">
        <v>1</v>
      </c>
      <c r="R130">
        <f t="shared" si="1"/>
        <v>1</v>
      </c>
    </row>
    <row r="131" spans="1:20">
      <c r="A131" s="36" t="s">
        <v>585</v>
      </c>
      <c r="B131" s="46" t="s">
        <v>586</v>
      </c>
      <c r="K131">
        <v>2</v>
      </c>
      <c r="R131">
        <f t="shared" si="1"/>
        <v>2</v>
      </c>
    </row>
    <row r="132" spans="1:20">
      <c r="A132" s="40" t="s">
        <v>587</v>
      </c>
      <c r="B132" s="36" t="s">
        <v>588</v>
      </c>
      <c r="C132" s="40">
        <v>2</v>
      </c>
      <c r="D132">
        <v>1</v>
      </c>
      <c r="F132">
        <v>6</v>
      </c>
      <c r="G132">
        <v>3</v>
      </c>
      <c r="R132">
        <f t="shared" si="1"/>
        <v>12</v>
      </c>
    </row>
    <row r="133" spans="1:20">
      <c r="A133" s="36" t="s">
        <v>589</v>
      </c>
      <c r="B133" s="46" t="s">
        <v>590</v>
      </c>
      <c r="C133" s="40"/>
      <c r="Q133">
        <v>2</v>
      </c>
      <c r="R133">
        <f t="shared" si="1"/>
        <v>2</v>
      </c>
      <c r="T133" s="55"/>
    </row>
    <row r="134" spans="1:20">
      <c r="A134" s="36" t="s">
        <v>591</v>
      </c>
      <c r="B134" s="46" t="s">
        <v>592</v>
      </c>
      <c r="F134">
        <v>5</v>
      </c>
      <c r="R134">
        <f t="shared" si="1"/>
        <v>5</v>
      </c>
    </row>
    <row r="135" spans="1:20">
      <c r="A135" s="46" t="s">
        <v>593</v>
      </c>
      <c r="B135" s="46" t="s">
        <v>594</v>
      </c>
      <c r="G135">
        <v>1</v>
      </c>
      <c r="R135">
        <f t="shared" si="1"/>
        <v>1</v>
      </c>
    </row>
    <row r="136" spans="1:20">
      <c r="A136" s="46" t="s">
        <v>595</v>
      </c>
      <c r="B136" s="46" t="s">
        <v>594</v>
      </c>
      <c r="G136">
        <f>4+1</f>
        <v>5</v>
      </c>
      <c r="R136">
        <f t="shared" si="1"/>
        <v>5</v>
      </c>
    </row>
    <row r="137" spans="1:20">
      <c r="A137" s="46" t="s">
        <v>596</v>
      </c>
      <c r="B137" s="46" t="s">
        <v>597</v>
      </c>
      <c r="G137">
        <v>1</v>
      </c>
      <c r="R137">
        <f t="shared" si="1"/>
        <v>1</v>
      </c>
    </row>
    <row r="138" spans="1:20">
      <c r="A138" s="46" t="s">
        <v>598</v>
      </c>
      <c r="B138" s="46" t="s">
        <v>599</v>
      </c>
      <c r="I138">
        <v>1</v>
      </c>
      <c r="J138">
        <v>3</v>
      </c>
    </row>
    <row r="139" spans="1:20">
      <c r="A139" s="46" t="s">
        <v>600</v>
      </c>
      <c r="B139" s="46" t="s">
        <v>601</v>
      </c>
      <c r="G139">
        <v>5</v>
      </c>
      <c r="R139">
        <f t="shared" si="1"/>
        <v>5</v>
      </c>
    </row>
    <row r="140" spans="1:20">
      <c r="A140" s="46" t="s">
        <v>602</v>
      </c>
      <c r="B140" s="46" t="s">
        <v>603</v>
      </c>
      <c r="G140">
        <v>1</v>
      </c>
      <c r="R140">
        <f t="shared" si="1"/>
        <v>1</v>
      </c>
    </row>
    <row r="141" spans="1:20">
      <c r="A141" s="46" t="s">
        <v>604</v>
      </c>
      <c r="B141" s="46" t="s">
        <v>605</v>
      </c>
      <c r="J141">
        <v>1</v>
      </c>
      <c r="R141">
        <f t="shared" ref="R141:R208" si="2">SUM(C141:Q141)</f>
        <v>1</v>
      </c>
    </row>
    <row r="142" spans="1:20">
      <c r="A142" s="36" t="s">
        <v>606</v>
      </c>
      <c r="B142" s="36" t="s">
        <v>607</v>
      </c>
      <c r="F142">
        <v>1</v>
      </c>
      <c r="L142">
        <v>9</v>
      </c>
      <c r="R142">
        <f t="shared" si="2"/>
        <v>10</v>
      </c>
    </row>
    <row r="143" spans="1:20">
      <c r="A143" s="46" t="s">
        <v>608</v>
      </c>
      <c r="B143" s="46" t="s">
        <v>609</v>
      </c>
      <c r="G143">
        <v>4</v>
      </c>
      <c r="H143">
        <v>1</v>
      </c>
      <c r="R143">
        <f t="shared" si="2"/>
        <v>5</v>
      </c>
    </row>
    <row r="144" spans="1:20">
      <c r="A144" s="46" t="s">
        <v>610</v>
      </c>
      <c r="B144" s="46" t="s">
        <v>611</v>
      </c>
      <c r="G144">
        <f>2+1</f>
        <v>3</v>
      </c>
      <c r="I144">
        <v>3</v>
      </c>
      <c r="R144">
        <f t="shared" si="2"/>
        <v>6</v>
      </c>
    </row>
    <row r="145" spans="1:18">
      <c r="A145" s="36" t="s">
        <v>612</v>
      </c>
      <c r="B145" s="36" t="s">
        <v>613</v>
      </c>
      <c r="F145">
        <v>3</v>
      </c>
      <c r="L145">
        <v>5</v>
      </c>
      <c r="P145">
        <v>2</v>
      </c>
      <c r="Q145">
        <v>7</v>
      </c>
      <c r="R145">
        <f t="shared" si="2"/>
        <v>17</v>
      </c>
    </row>
    <row r="146" spans="1:18">
      <c r="A146" s="46" t="s">
        <v>614</v>
      </c>
      <c r="B146" s="49" t="s">
        <v>615</v>
      </c>
      <c r="G146">
        <v>1</v>
      </c>
      <c r="R146">
        <f t="shared" si="2"/>
        <v>1</v>
      </c>
    </row>
    <row r="147" spans="1:18">
      <c r="A147" s="36" t="s">
        <v>616</v>
      </c>
      <c r="B147" s="36" t="s">
        <v>617</v>
      </c>
      <c r="G147">
        <v>6</v>
      </c>
      <c r="R147">
        <f t="shared" si="2"/>
        <v>6</v>
      </c>
    </row>
    <row r="148" spans="1:18">
      <c r="A148" s="46" t="s">
        <v>618</v>
      </c>
      <c r="B148" s="46" t="s">
        <v>619</v>
      </c>
      <c r="G148">
        <v>3</v>
      </c>
      <c r="R148">
        <f t="shared" si="2"/>
        <v>3</v>
      </c>
    </row>
    <row r="149" spans="1:18">
      <c r="A149" s="40" t="s">
        <v>620</v>
      </c>
      <c r="B149" s="36" t="s">
        <v>621</v>
      </c>
      <c r="C149" s="40"/>
      <c r="F149">
        <v>3</v>
      </c>
      <c r="R149">
        <f t="shared" si="2"/>
        <v>3</v>
      </c>
    </row>
    <row r="150" spans="1:18">
      <c r="A150" s="40" t="s">
        <v>622</v>
      </c>
      <c r="B150" s="46" t="s">
        <v>623</v>
      </c>
      <c r="C150" s="40"/>
      <c r="G150">
        <v>2</v>
      </c>
      <c r="R150">
        <f t="shared" si="2"/>
        <v>2</v>
      </c>
    </row>
    <row r="151" spans="1:18">
      <c r="A151" s="40" t="s">
        <v>624</v>
      </c>
      <c r="B151" s="46" t="s">
        <v>625</v>
      </c>
      <c r="C151" s="40"/>
      <c r="G151">
        <v>2</v>
      </c>
      <c r="I151">
        <v>1</v>
      </c>
      <c r="J151">
        <v>2</v>
      </c>
      <c r="R151">
        <f t="shared" si="2"/>
        <v>5</v>
      </c>
    </row>
    <row r="152" spans="1:18">
      <c r="A152" s="36" t="s">
        <v>626</v>
      </c>
      <c r="B152" s="36" t="s">
        <v>627</v>
      </c>
      <c r="L152">
        <v>4</v>
      </c>
      <c r="R152">
        <f t="shared" si="2"/>
        <v>4</v>
      </c>
    </row>
    <row r="153" spans="1:18">
      <c r="A153" s="40" t="s">
        <v>628</v>
      </c>
      <c r="B153" s="36" t="s">
        <v>629</v>
      </c>
      <c r="C153" s="40"/>
      <c r="D153">
        <v>1</v>
      </c>
      <c r="R153">
        <f t="shared" si="2"/>
        <v>1</v>
      </c>
    </row>
    <row r="154" spans="1:18">
      <c r="A154" s="46" t="s">
        <v>630</v>
      </c>
      <c r="B154" s="46" t="s">
        <v>631</v>
      </c>
      <c r="G154">
        <v>5</v>
      </c>
      <c r="R154">
        <f t="shared" si="2"/>
        <v>5</v>
      </c>
    </row>
    <row r="155" spans="1:18">
      <c r="A155" s="46" t="s">
        <v>632</v>
      </c>
      <c r="B155" s="46" t="s">
        <v>633</v>
      </c>
      <c r="G155">
        <v>16</v>
      </c>
      <c r="R155">
        <f t="shared" si="2"/>
        <v>16</v>
      </c>
    </row>
    <row r="156" spans="1:18">
      <c r="A156" s="36" t="s">
        <v>634</v>
      </c>
      <c r="B156" s="36" t="s">
        <v>542</v>
      </c>
      <c r="F156">
        <v>1</v>
      </c>
      <c r="R156">
        <f t="shared" si="2"/>
        <v>1</v>
      </c>
    </row>
    <row r="157" spans="1:18">
      <c r="A157" s="36" t="s">
        <v>635</v>
      </c>
      <c r="B157" s="46" t="s">
        <v>636</v>
      </c>
      <c r="G157">
        <v>1</v>
      </c>
      <c r="R157">
        <f t="shared" si="2"/>
        <v>1</v>
      </c>
    </row>
    <row r="158" spans="1:18">
      <c r="A158" s="36" t="s">
        <v>637</v>
      </c>
      <c r="B158" s="46" t="s">
        <v>638</v>
      </c>
      <c r="G158">
        <v>1</v>
      </c>
      <c r="R158">
        <f t="shared" si="2"/>
        <v>1</v>
      </c>
    </row>
    <row r="159" spans="1:18">
      <c r="A159" s="46" t="s">
        <v>639</v>
      </c>
      <c r="B159" s="46" t="s">
        <v>640</v>
      </c>
      <c r="G159">
        <v>5</v>
      </c>
      <c r="H159">
        <v>1</v>
      </c>
      <c r="R159">
        <f t="shared" si="2"/>
        <v>6</v>
      </c>
    </row>
    <row r="160" spans="1:18">
      <c r="A160" s="46" t="s">
        <v>641</v>
      </c>
      <c r="B160" s="46" t="s">
        <v>642</v>
      </c>
      <c r="G160">
        <v>1</v>
      </c>
      <c r="R160">
        <f t="shared" si="2"/>
        <v>1</v>
      </c>
    </row>
    <row r="161" spans="1:18">
      <c r="A161" s="46" t="s">
        <v>643</v>
      </c>
      <c r="B161" s="46" t="s">
        <v>644</v>
      </c>
      <c r="G161">
        <v>1</v>
      </c>
      <c r="R161">
        <f t="shared" si="2"/>
        <v>1</v>
      </c>
    </row>
    <row r="162" spans="1:18">
      <c r="A162" s="46" t="s">
        <v>645</v>
      </c>
      <c r="B162" s="46" t="s">
        <v>646</v>
      </c>
      <c r="G162">
        <v>1</v>
      </c>
      <c r="I162">
        <v>1</v>
      </c>
      <c r="R162">
        <f t="shared" si="2"/>
        <v>2</v>
      </c>
    </row>
    <row r="163" spans="1:18">
      <c r="A163" s="40" t="s">
        <v>647</v>
      </c>
      <c r="B163" s="36" t="s">
        <v>648</v>
      </c>
      <c r="C163" s="40"/>
      <c r="D163">
        <v>1</v>
      </c>
      <c r="R163">
        <f t="shared" si="2"/>
        <v>1</v>
      </c>
    </row>
    <row r="164" spans="1:18">
      <c r="A164" s="36" t="s">
        <v>649</v>
      </c>
      <c r="B164" s="46" t="s">
        <v>650</v>
      </c>
      <c r="F164">
        <v>1</v>
      </c>
      <c r="R164">
        <f t="shared" si="2"/>
        <v>1</v>
      </c>
    </row>
    <row r="165" spans="1:18">
      <c r="A165" s="36" t="s">
        <v>651</v>
      </c>
      <c r="B165" s="46" t="s">
        <v>652</v>
      </c>
      <c r="R165">
        <f t="shared" si="2"/>
        <v>0</v>
      </c>
    </row>
    <row r="166" spans="1:18">
      <c r="A166" t="s">
        <v>653</v>
      </c>
      <c r="B166" s="46" t="s">
        <v>654</v>
      </c>
      <c r="P166">
        <v>3</v>
      </c>
      <c r="R166">
        <f t="shared" si="2"/>
        <v>3</v>
      </c>
    </row>
    <row r="167" spans="1:18">
      <c r="A167" t="s">
        <v>655</v>
      </c>
      <c r="B167" s="46" t="s">
        <v>656</v>
      </c>
      <c r="G167">
        <v>1</v>
      </c>
      <c r="R167">
        <f t="shared" si="2"/>
        <v>1</v>
      </c>
    </row>
    <row r="168" spans="1:18">
      <c r="A168" t="s">
        <v>657</v>
      </c>
      <c r="B168" s="46" t="s">
        <v>658</v>
      </c>
      <c r="K168">
        <v>1</v>
      </c>
    </row>
    <row r="169" spans="1:18">
      <c r="A169" s="36" t="s">
        <v>659</v>
      </c>
      <c r="B169" s="46" t="s">
        <v>660</v>
      </c>
      <c r="H169">
        <v>1</v>
      </c>
      <c r="I169">
        <f>1+1</f>
        <v>2</v>
      </c>
      <c r="R169">
        <f t="shared" si="2"/>
        <v>3</v>
      </c>
    </row>
    <row r="170" spans="1:18">
      <c r="A170" s="46" t="s">
        <v>661</v>
      </c>
      <c r="B170" s="46" t="s">
        <v>662</v>
      </c>
      <c r="G170">
        <v>3</v>
      </c>
      <c r="R170">
        <f t="shared" si="2"/>
        <v>3</v>
      </c>
    </row>
    <row r="171" spans="1:18">
      <c r="A171" s="36" t="s">
        <v>663</v>
      </c>
      <c r="B171" s="36" t="s">
        <v>664</v>
      </c>
      <c r="J171">
        <v>1</v>
      </c>
      <c r="R171">
        <f t="shared" si="2"/>
        <v>1</v>
      </c>
    </row>
    <row r="172" spans="1:18">
      <c r="A172" s="46" t="s">
        <v>665</v>
      </c>
      <c r="B172" s="46" t="s">
        <v>666</v>
      </c>
      <c r="G172">
        <v>6</v>
      </c>
      <c r="R172">
        <f t="shared" si="2"/>
        <v>6</v>
      </c>
    </row>
    <row r="173" spans="1:18">
      <c r="A173" s="46" t="s">
        <v>667</v>
      </c>
      <c r="B173" s="46" t="s">
        <v>668</v>
      </c>
      <c r="G173">
        <v>14</v>
      </c>
      <c r="K173">
        <v>2</v>
      </c>
      <c r="R173">
        <f t="shared" si="2"/>
        <v>16</v>
      </c>
    </row>
    <row r="174" spans="1:18">
      <c r="A174" s="46" t="s">
        <v>669</v>
      </c>
      <c r="B174" s="46" t="s">
        <v>670</v>
      </c>
      <c r="H174">
        <v>4</v>
      </c>
      <c r="J174">
        <f>1+1</f>
        <v>2</v>
      </c>
      <c r="R174">
        <f t="shared" si="2"/>
        <v>6</v>
      </c>
    </row>
    <row r="175" spans="1:18">
      <c r="A175" s="40" t="s">
        <v>671</v>
      </c>
      <c r="B175" s="36" t="s">
        <v>672</v>
      </c>
      <c r="C175" s="40"/>
      <c r="G175">
        <v>1</v>
      </c>
      <c r="R175">
        <f t="shared" si="2"/>
        <v>1</v>
      </c>
    </row>
    <row r="176" spans="1:18">
      <c r="A176" s="40" t="s">
        <v>651</v>
      </c>
      <c r="B176" s="36" t="s">
        <v>673</v>
      </c>
      <c r="C176" s="40"/>
      <c r="J176">
        <v>1</v>
      </c>
    </row>
    <row r="177" spans="1:18">
      <c r="A177" s="46" t="s">
        <v>674</v>
      </c>
      <c r="B177" s="49" t="s">
        <v>615</v>
      </c>
      <c r="G177">
        <v>4</v>
      </c>
      <c r="R177">
        <f t="shared" si="2"/>
        <v>4</v>
      </c>
    </row>
    <row r="178" spans="1:18">
      <c r="A178" s="46" t="s">
        <v>675</v>
      </c>
      <c r="B178" s="46" t="s">
        <v>676</v>
      </c>
      <c r="G178">
        <f>24+8+5+2+1</f>
        <v>40</v>
      </c>
      <c r="R178">
        <f t="shared" si="2"/>
        <v>40</v>
      </c>
    </row>
    <row r="179" spans="1:18">
      <c r="A179" s="46" t="s">
        <v>677</v>
      </c>
      <c r="B179" s="46" t="s">
        <v>678</v>
      </c>
      <c r="G179">
        <v>4</v>
      </c>
      <c r="R179">
        <f t="shared" si="2"/>
        <v>4</v>
      </c>
    </row>
    <row r="180" spans="1:18">
      <c r="A180" s="36" t="s">
        <v>679</v>
      </c>
      <c r="B180" s="36" t="s">
        <v>680</v>
      </c>
      <c r="F180">
        <v>1</v>
      </c>
      <c r="R180">
        <f t="shared" si="2"/>
        <v>1</v>
      </c>
    </row>
    <row r="181" spans="1:18">
      <c r="A181" s="36" t="s">
        <v>681</v>
      </c>
      <c r="B181" s="36" t="s">
        <v>682</v>
      </c>
      <c r="P181">
        <v>2</v>
      </c>
      <c r="R181">
        <f t="shared" si="2"/>
        <v>2</v>
      </c>
    </row>
    <row r="182" spans="1:18">
      <c r="A182" s="36" t="s">
        <v>683</v>
      </c>
      <c r="B182" s="46" t="s">
        <v>684</v>
      </c>
      <c r="G182">
        <v>1</v>
      </c>
      <c r="R182">
        <f t="shared" si="2"/>
        <v>1</v>
      </c>
    </row>
    <row r="183" spans="1:18">
      <c r="A183" s="36" t="s">
        <v>685</v>
      </c>
      <c r="B183" s="36" t="s">
        <v>400</v>
      </c>
      <c r="N183">
        <v>3</v>
      </c>
      <c r="R183">
        <f t="shared" si="2"/>
        <v>3</v>
      </c>
    </row>
    <row r="184" spans="1:18">
      <c r="A184" s="36" t="s">
        <v>686</v>
      </c>
      <c r="B184" s="46" t="s">
        <v>687</v>
      </c>
      <c r="I184">
        <v>1</v>
      </c>
      <c r="R184">
        <f t="shared" si="2"/>
        <v>1</v>
      </c>
    </row>
    <row r="185" spans="1:18">
      <c r="A185" s="36" t="s">
        <v>688</v>
      </c>
      <c r="B185" s="36" t="s">
        <v>689</v>
      </c>
      <c r="F185">
        <v>2</v>
      </c>
      <c r="K185">
        <v>3</v>
      </c>
      <c r="R185">
        <f t="shared" si="2"/>
        <v>5</v>
      </c>
    </row>
    <row r="186" spans="1:18">
      <c r="A186" s="46" t="s">
        <v>690</v>
      </c>
      <c r="B186" s="46" t="s">
        <v>691</v>
      </c>
      <c r="G186">
        <v>1</v>
      </c>
      <c r="R186">
        <f t="shared" si="2"/>
        <v>1</v>
      </c>
    </row>
    <row r="187" spans="1:18">
      <c r="A187" t="s">
        <v>692</v>
      </c>
      <c r="B187" s="46" t="s">
        <v>693</v>
      </c>
      <c r="P187">
        <v>4</v>
      </c>
      <c r="R187">
        <f t="shared" si="2"/>
        <v>4</v>
      </c>
    </row>
    <row r="188" spans="1:18">
      <c r="A188" s="46" t="s">
        <v>694</v>
      </c>
      <c r="B188" s="49" t="s">
        <v>695</v>
      </c>
      <c r="G188">
        <v>5</v>
      </c>
      <c r="R188">
        <f t="shared" si="2"/>
        <v>5</v>
      </c>
    </row>
    <row r="189" spans="1:18">
      <c r="A189" s="46" t="s">
        <v>696</v>
      </c>
      <c r="B189" s="46" t="s">
        <v>697</v>
      </c>
      <c r="G189">
        <v>2</v>
      </c>
      <c r="R189">
        <f t="shared" si="2"/>
        <v>2</v>
      </c>
    </row>
    <row r="190" spans="1:18">
      <c r="A190" s="36" t="s">
        <v>698</v>
      </c>
      <c r="B190" s="36" t="s">
        <v>699</v>
      </c>
      <c r="E190">
        <f>2</f>
        <v>2</v>
      </c>
      <c r="F190">
        <v>1</v>
      </c>
      <c r="K190">
        <v>3</v>
      </c>
      <c r="L190">
        <v>1</v>
      </c>
      <c r="M190">
        <v>8</v>
      </c>
      <c r="N190">
        <v>10</v>
      </c>
      <c r="R190">
        <f t="shared" si="2"/>
        <v>25</v>
      </c>
    </row>
    <row r="191" spans="1:18">
      <c r="A191" s="46" t="s">
        <v>700</v>
      </c>
      <c r="B191" s="46" t="s">
        <v>701</v>
      </c>
      <c r="G191">
        <v>2</v>
      </c>
      <c r="R191">
        <f t="shared" si="2"/>
        <v>2</v>
      </c>
    </row>
    <row r="192" spans="1:18">
      <c r="A192" s="40" t="s">
        <v>702</v>
      </c>
      <c r="B192" s="36" t="s">
        <v>703</v>
      </c>
      <c r="C192" s="40"/>
      <c r="E192">
        <f>4+2</f>
        <v>6</v>
      </c>
      <c r="F192">
        <v>2</v>
      </c>
      <c r="M192">
        <v>19</v>
      </c>
      <c r="N192">
        <v>32</v>
      </c>
      <c r="O192">
        <v>29</v>
      </c>
      <c r="Q192">
        <v>14</v>
      </c>
      <c r="R192">
        <f t="shared" si="2"/>
        <v>102</v>
      </c>
    </row>
    <row r="193" spans="1:18">
      <c r="A193" s="36" t="s">
        <v>704</v>
      </c>
      <c r="B193" s="36" t="s">
        <v>705</v>
      </c>
      <c r="F193">
        <v>6</v>
      </c>
      <c r="R193">
        <f t="shared" si="2"/>
        <v>6</v>
      </c>
    </row>
    <row r="194" spans="1:18">
      <c r="A194" s="36" t="s">
        <v>706</v>
      </c>
      <c r="B194" s="36" t="s">
        <v>506</v>
      </c>
      <c r="L194">
        <v>4</v>
      </c>
      <c r="O194">
        <v>17</v>
      </c>
      <c r="Q194">
        <v>10</v>
      </c>
      <c r="R194">
        <f t="shared" si="2"/>
        <v>31</v>
      </c>
    </row>
    <row r="195" spans="1:18">
      <c r="A195" s="36" t="s">
        <v>707</v>
      </c>
      <c r="B195" s="49" t="s">
        <v>708</v>
      </c>
      <c r="G195">
        <f>3+1</f>
        <v>4</v>
      </c>
      <c r="R195">
        <f t="shared" si="2"/>
        <v>4</v>
      </c>
    </row>
    <row r="196" spans="1:18">
      <c r="A196" s="36" t="s">
        <v>709</v>
      </c>
      <c r="B196" s="46" t="s">
        <v>710</v>
      </c>
      <c r="F196">
        <v>1</v>
      </c>
      <c r="G196">
        <v>1</v>
      </c>
      <c r="H196">
        <v>1</v>
      </c>
      <c r="R196">
        <f t="shared" si="2"/>
        <v>3</v>
      </c>
    </row>
    <row r="197" spans="1:18">
      <c r="A197" s="46" t="s">
        <v>711</v>
      </c>
      <c r="B197" s="46" t="s">
        <v>712</v>
      </c>
      <c r="G197">
        <v>1</v>
      </c>
      <c r="R197">
        <f t="shared" si="2"/>
        <v>1</v>
      </c>
    </row>
    <row r="198" spans="1:18">
      <c r="A198" t="s">
        <v>713</v>
      </c>
      <c r="B198" t="s">
        <v>714</v>
      </c>
      <c r="G198" s="50"/>
      <c r="P198">
        <v>6</v>
      </c>
      <c r="Q198">
        <v>4</v>
      </c>
      <c r="R198">
        <f t="shared" si="2"/>
        <v>10</v>
      </c>
    </row>
    <row r="199" spans="1:18">
      <c r="A199" s="46" t="s">
        <v>715</v>
      </c>
      <c r="B199" s="46" t="s">
        <v>716</v>
      </c>
      <c r="I199">
        <v>1</v>
      </c>
      <c r="R199">
        <f t="shared" si="2"/>
        <v>1</v>
      </c>
    </row>
    <row r="200" spans="1:18">
      <c r="A200" s="46" t="s">
        <v>717</v>
      </c>
      <c r="B200" s="46" t="s">
        <v>718</v>
      </c>
      <c r="I200">
        <v>1</v>
      </c>
      <c r="K200">
        <v>4</v>
      </c>
      <c r="R200">
        <f t="shared" si="2"/>
        <v>5</v>
      </c>
    </row>
    <row r="201" spans="1:18">
      <c r="A201" s="46" t="s">
        <v>719</v>
      </c>
      <c r="B201" t="s">
        <v>720</v>
      </c>
      <c r="G201" s="50">
        <v>1</v>
      </c>
    </row>
    <row r="202" spans="1:18">
      <c r="A202" s="46" t="s">
        <v>721</v>
      </c>
      <c r="B202" s="46" t="s">
        <v>722</v>
      </c>
      <c r="R202">
        <f t="shared" si="2"/>
        <v>0</v>
      </c>
    </row>
    <row r="203" spans="1:18">
      <c r="A203" t="s">
        <v>723</v>
      </c>
      <c r="B203" s="46" t="s">
        <v>724</v>
      </c>
      <c r="G203">
        <v>15</v>
      </c>
      <c r="P203">
        <v>3</v>
      </c>
      <c r="R203">
        <f t="shared" si="2"/>
        <v>18</v>
      </c>
    </row>
    <row r="204" spans="1:18">
      <c r="A204" s="46" t="s">
        <v>725</v>
      </c>
      <c r="B204" s="46" t="s">
        <v>726</v>
      </c>
      <c r="G204" s="50">
        <v>9</v>
      </c>
    </row>
    <row r="205" spans="1:18">
      <c r="A205" s="40" t="s">
        <v>727</v>
      </c>
      <c r="B205" s="36" t="s">
        <v>728</v>
      </c>
      <c r="C205" s="40"/>
      <c r="E205">
        <f>3+12+8</f>
        <v>23</v>
      </c>
      <c r="F205">
        <v>1</v>
      </c>
      <c r="R205">
        <f t="shared" si="2"/>
        <v>24</v>
      </c>
    </row>
    <row r="206" spans="1:18">
      <c r="A206" s="36" t="s">
        <v>729</v>
      </c>
      <c r="B206" s="36" t="s">
        <v>730</v>
      </c>
      <c r="F206">
        <v>1</v>
      </c>
      <c r="G206">
        <v>2</v>
      </c>
      <c r="L206">
        <v>6</v>
      </c>
      <c r="R206">
        <f t="shared" si="2"/>
        <v>9</v>
      </c>
    </row>
    <row r="207" spans="1:18">
      <c r="A207" s="48" t="s">
        <v>731</v>
      </c>
      <c r="B207" s="46" t="s">
        <v>732</v>
      </c>
      <c r="P207">
        <v>1</v>
      </c>
      <c r="R207">
        <f t="shared" si="2"/>
        <v>1</v>
      </c>
    </row>
    <row r="208" spans="1:18">
      <c r="A208" s="46" t="s">
        <v>733</v>
      </c>
      <c r="B208" s="46" t="s">
        <v>732</v>
      </c>
      <c r="G208">
        <v>37</v>
      </c>
      <c r="J208">
        <v>1</v>
      </c>
      <c r="K208">
        <v>2</v>
      </c>
      <c r="R208">
        <f t="shared" si="2"/>
        <v>40</v>
      </c>
    </row>
    <row r="209" spans="1:18">
      <c r="A209" s="46" t="s">
        <v>734</v>
      </c>
      <c r="B209" s="46" t="s">
        <v>735</v>
      </c>
      <c r="G209">
        <v>2</v>
      </c>
      <c r="R209">
        <f t="shared" ref="R209:R263" si="3">SUM(C209:Q209)</f>
        <v>2</v>
      </c>
    </row>
    <row r="210" spans="1:18">
      <c r="A210" t="s">
        <v>736</v>
      </c>
      <c r="B210" s="46" t="s">
        <v>737</v>
      </c>
      <c r="P210">
        <v>1</v>
      </c>
      <c r="R210">
        <f t="shared" si="3"/>
        <v>1</v>
      </c>
    </row>
    <row r="211" spans="1:18">
      <c r="A211" s="46" t="s">
        <v>738</v>
      </c>
      <c r="B211" s="46" t="s">
        <v>739</v>
      </c>
      <c r="G211">
        <v>1</v>
      </c>
      <c r="R211">
        <f t="shared" si="3"/>
        <v>1</v>
      </c>
    </row>
    <row r="212" spans="1:18">
      <c r="A212" s="46" t="s">
        <v>740</v>
      </c>
      <c r="B212" s="46" t="s">
        <v>741</v>
      </c>
      <c r="G212">
        <v>1</v>
      </c>
      <c r="R212">
        <f t="shared" si="3"/>
        <v>1</v>
      </c>
    </row>
    <row r="213" spans="1:18">
      <c r="A213" s="40" t="s">
        <v>742</v>
      </c>
      <c r="B213" s="36" t="s">
        <v>743</v>
      </c>
      <c r="C213" s="40"/>
      <c r="D213">
        <v>1</v>
      </c>
      <c r="G213">
        <v>1</v>
      </c>
      <c r="R213">
        <f t="shared" si="3"/>
        <v>2</v>
      </c>
    </row>
    <row r="214" spans="1:18">
      <c r="A214" s="36" t="s">
        <v>744</v>
      </c>
      <c r="B214" s="36" t="s">
        <v>745</v>
      </c>
      <c r="F214">
        <v>3</v>
      </c>
      <c r="R214">
        <f t="shared" si="3"/>
        <v>3</v>
      </c>
    </row>
    <row r="215" spans="1:18">
      <c r="A215" s="36" t="s">
        <v>746</v>
      </c>
      <c r="B215" s="36" t="s">
        <v>747</v>
      </c>
      <c r="R215">
        <f t="shared" si="3"/>
        <v>0</v>
      </c>
    </row>
    <row r="216" spans="1:18">
      <c r="A216" s="36" t="s">
        <v>748</v>
      </c>
      <c r="B216" s="36" t="s">
        <v>749</v>
      </c>
      <c r="R216">
        <f t="shared" si="3"/>
        <v>0</v>
      </c>
    </row>
    <row r="217" spans="1:18">
      <c r="A217" s="36" t="s">
        <v>750</v>
      </c>
      <c r="B217" s="36" t="s">
        <v>751</v>
      </c>
      <c r="Q217">
        <v>2</v>
      </c>
      <c r="R217">
        <f t="shared" si="3"/>
        <v>2</v>
      </c>
    </row>
    <row r="218" spans="1:18">
      <c r="A218" s="36" t="s">
        <v>752</v>
      </c>
      <c r="B218" s="46" t="s">
        <v>753</v>
      </c>
      <c r="G218">
        <v>2</v>
      </c>
      <c r="R218">
        <f t="shared" si="3"/>
        <v>2</v>
      </c>
    </row>
    <row r="219" spans="1:18">
      <c r="A219" s="36" t="s">
        <v>754</v>
      </c>
      <c r="B219" s="46" t="s">
        <v>755</v>
      </c>
      <c r="I219">
        <v>1</v>
      </c>
      <c r="R219">
        <f t="shared" si="3"/>
        <v>1</v>
      </c>
    </row>
    <row r="220" spans="1:18">
      <c r="A220" s="36" t="s">
        <v>756</v>
      </c>
      <c r="B220" s="46" t="s">
        <v>757</v>
      </c>
      <c r="G220">
        <v>1</v>
      </c>
      <c r="R220">
        <f t="shared" si="3"/>
        <v>1</v>
      </c>
    </row>
    <row r="221" spans="1:18">
      <c r="A221" s="36" t="s">
        <v>758</v>
      </c>
      <c r="B221" s="46" t="s">
        <v>759</v>
      </c>
      <c r="G221">
        <v>14</v>
      </c>
      <c r="R221">
        <f t="shared" si="3"/>
        <v>14</v>
      </c>
    </row>
    <row r="222" spans="1:18">
      <c r="A222" s="46" t="s">
        <v>760</v>
      </c>
      <c r="B222" s="46" t="s">
        <v>761</v>
      </c>
      <c r="G222">
        <v>5</v>
      </c>
      <c r="R222">
        <f t="shared" si="3"/>
        <v>5</v>
      </c>
    </row>
    <row r="223" spans="1:18">
      <c r="A223" s="46" t="s">
        <v>762</v>
      </c>
      <c r="B223" s="46" t="s">
        <v>763</v>
      </c>
      <c r="G223">
        <v>1</v>
      </c>
      <c r="R223">
        <f t="shared" si="3"/>
        <v>1</v>
      </c>
    </row>
    <row r="224" spans="1:18">
      <c r="A224" s="40" t="s">
        <v>764</v>
      </c>
      <c r="B224" s="36" t="s">
        <v>765</v>
      </c>
      <c r="C224" s="40">
        <v>1</v>
      </c>
      <c r="G224">
        <v>59</v>
      </c>
      <c r="R224">
        <f t="shared" si="3"/>
        <v>60</v>
      </c>
    </row>
    <row r="225" spans="1:18">
      <c r="A225" s="40" t="s">
        <v>766</v>
      </c>
      <c r="B225" s="46" t="s">
        <v>767</v>
      </c>
      <c r="C225" s="40"/>
      <c r="G225">
        <v>2</v>
      </c>
      <c r="R225">
        <f t="shared" si="3"/>
        <v>2</v>
      </c>
    </row>
    <row r="226" spans="1:18">
      <c r="A226" s="46" t="s">
        <v>768</v>
      </c>
      <c r="B226" s="46" t="s">
        <v>769</v>
      </c>
      <c r="G226">
        <v>4</v>
      </c>
      <c r="R226">
        <f t="shared" si="3"/>
        <v>4</v>
      </c>
    </row>
    <row r="227" spans="1:18">
      <c r="A227" s="46" t="s">
        <v>770</v>
      </c>
      <c r="B227" s="46" t="s">
        <v>771</v>
      </c>
      <c r="G227">
        <f>9+2+1</f>
        <v>12</v>
      </c>
      <c r="R227">
        <f t="shared" si="3"/>
        <v>12</v>
      </c>
    </row>
    <row r="228" spans="1:18">
      <c r="A228" s="46" t="s">
        <v>772</v>
      </c>
      <c r="B228" s="46" t="s">
        <v>773</v>
      </c>
      <c r="G228">
        <v>1</v>
      </c>
      <c r="R228">
        <f t="shared" si="3"/>
        <v>1</v>
      </c>
    </row>
    <row r="229" spans="1:18">
      <c r="A229" s="46" t="s">
        <v>774</v>
      </c>
      <c r="B229" s="46" t="s">
        <v>775</v>
      </c>
      <c r="G229">
        <v>3</v>
      </c>
      <c r="R229">
        <f t="shared" si="3"/>
        <v>3</v>
      </c>
    </row>
    <row r="230" spans="1:18">
      <c r="A230" s="40" t="s">
        <v>776</v>
      </c>
      <c r="B230" s="36" t="s">
        <v>777</v>
      </c>
      <c r="C230" s="40">
        <v>1</v>
      </c>
      <c r="G230" s="50">
        <v>1</v>
      </c>
      <c r="R230">
        <f t="shared" si="3"/>
        <v>2</v>
      </c>
    </row>
    <row r="231" spans="1:18" ht="29.1">
      <c r="A231" s="36" t="s">
        <v>778</v>
      </c>
      <c r="B231" s="36" t="s">
        <v>779</v>
      </c>
      <c r="F231">
        <v>1</v>
      </c>
      <c r="R231">
        <f t="shared" si="3"/>
        <v>1</v>
      </c>
    </row>
    <row r="232" spans="1:18">
      <c r="A232" s="46" t="s">
        <v>780</v>
      </c>
      <c r="B232" s="46" t="s">
        <v>781</v>
      </c>
      <c r="G232">
        <v>18</v>
      </c>
      <c r="H232">
        <v>3</v>
      </c>
      <c r="P232">
        <v>1</v>
      </c>
      <c r="R232">
        <f t="shared" si="3"/>
        <v>22</v>
      </c>
    </row>
    <row r="233" spans="1:18">
      <c r="A233" s="36" t="s">
        <v>782</v>
      </c>
      <c r="B233" s="36" t="s">
        <v>783</v>
      </c>
      <c r="N233">
        <v>3</v>
      </c>
      <c r="R233">
        <f t="shared" si="3"/>
        <v>3</v>
      </c>
    </row>
    <row r="234" spans="1:18">
      <c r="A234" s="36" t="s">
        <v>784</v>
      </c>
      <c r="B234" s="36" t="s">
        <v>785</v>
      </c>
      <c r="R234">
        <f t="shared" si="3"/>
        <v>0</v>
      </c>
    </row>
    <row r="235" spans="1:18">
      <c r="A235" t="s">
        <v>786</v>
      </c>
      <c r="B235" s="46" t="s">
        <v>787</v>
      </c>
      <c r="P235">
        <v>1</v>
      </c>
      <c r="R235">
        <f t="shared" si="3"/>
        <v>1</v>
      </c>
    </row>
    <row r="236" spans="1:18">
      <c r="A236" s="46" t="s">
        <v>788</v>
      </c>
      <c r="B236" s="46" t="s">
        <v>789</v>
      </c>
      <c r="G236">
        <v>3</v>
      </c>
      <c r="R236">
        <f t="shared" si="3"/>
        <v>3</v>
      </c>
    </row>
    <row r="237" spans="1:18">
      <c r="A237" s="46" t="s">
        <v>790</v>
      </c>
      <c r="B237" t="s">
        <v>791</v>
      </c>
      <c r="E237">
        <v>16</v>
      </c>
    </row>
    <row r="238" spans="1:18">
      <c r="A238" s="46" t="s">
        <v>792</v>
      </c>
      <c r="B238" s="46" t="s">
        <v>793</v>
      </c>
      <c r="G238">
        <v>2</v>
      </c>
      <c r="R238">
        <f t="shared" si="3"/>
        <v>2</v>
      </c>
    </row>
    <row r="239" spans="1:18">
      <c r="A239" s="46" t="s">
        <v>794</v>
      </c>
      <c r="B239" s="46" t="s">
        <v>795</v>
      </c>
      <c r="G239">
        <v>5</v>
      </c>
      <c r="R239">
        <f t="shared" si="3"/>
        <v>5</v>
      </c>
    </row>
    <row r="240" spans="1:18">
      <c r="A240" s="46" t="s">
        <v>796</v>
      </c>
      <c r="B240" s="46" t="s">
        <v>797</v>
      </c>
      <c r="I240">
        <v>1</v>
      </c>
      <c r="R240">
        <f t="shared" si="3"/>
        <v>1</v>
      </c>
    </row>
    <row r="241" spans="1:18">
      <c r="A241" s="46" t="s">
        <v>798</v>
      </c>
      <c r="B241" s="46" t="s">
        <v>799</v>
      </c>
      <c r="G241">
        <v>1</v>
      </c>
      <c r="R241">
        <f t="shared" si="3"/>
        <v>1</v>
      </c>
    </row>
    <row r="242" spans="1:18">
      <c r="A242" t="s">
        <v>800</v>
      </c>
      <c r="B242" s="46" t="s">
        <v>801</v>
      </c>
      <c r="P242">
        <v>1</v>
      </c>
      <c r="R242">
        <f t="shared" si="3"/>
        <v>1</v>
      </c>
    </row>
    <row r="243" spans="1:18">
      <c r="A243" s="46" t="s">
        <v>802</v>
      </c>
      <c r="B243" s="46" t="s">
        <v>803</v>
      </c>
      <c r="G243">
        <f>8+3</f>
        <v>11</v>
      </c>
      <c r="P243">
        <v>1</v>
      </c>
      <c r="R243">
        <f t="shared" si="3"/>
        <v>12</v>
      </c>
    </row>
    <row r="244" spans="1:18">
      <c r="A244" s="36" t="s">
        <v>804</v>
      </c>
      <c r="B244" s="36" t="s">
        <v>805</v>
      </c>
      <c r="R244">
        <f t="shared" si="3"/>
        <v>0</v>
      </c>
    </row>
    <row r="245" spans="1:18">
      <c r="A245" t="s">
        <v>806</v>
      </c>
      <c r="B245" s="46" t="s">
        <v>807</v>
      </c>
      <c r="P245">
        <v>1</v>
      </c>
      <c r="R245">
        <f t="shared" si="3"/>
        <v>1</v>
      </c>
    </row>
    <row r="246" spans="1:18">
      <c r="A246" s="36" t="s">
        <v>808</v>
      </c>
      <c r="B246" s="46" t="s">
        <v>809</v>
      </c>
      <c r="F246">
        <v>1</v>
      </c>
      <c r="R246">
        <f t="shared" si="3"/>
        <v>1</v>
      </c>
    </row>
    <row r="247" spans="1:18">
      <c r="A247" s="46" t="s">
        <v>810</v>
      </c>
      <c r="B247" s="46" t="s">
        <v>811</v>
      </c>
      <c r="G247">
        <v>1</v>
      </c>
      <c r="R247">
        <f t="shared" si="3"/>
        <v>1</v>
      </c>
    </row>
    <row r="248" spans="1:18">
      <c r="A248" t="s">
        <v>812</v>
      </c>
      <c r="B248" s="46" t="s">
        <v>813</v>
      </c>
      <c r="G248">
        <v>1</v>
      </c>
      <c r="P248">
        <v>1</v>
      </c>
      <c r="R248">
        <f t="shared" si="3"/>
        <v>2</v>
      </c>
    </row>
    <row r="249" spans="1:18">
      <c r="A249" s="46" t="s">
        <v>814</v>
      </c>
      <c r="B249" s="46" t="s">
        <v>815</v>
      </c>
      <c r="G249">
        <v>1</v>
      </c>
      <c r="R249">
        <f t="shared" si="3"/>
        <v>1</v>
      </c>
    </row>
    <row r="250" spans="1:18">
      <c r="A250" s="36" t="s">
        <v>816</v>
      </c>
      <c r="B250" s="36" t="s">
        <v>506</v>
      </c>
      <c r="I250">
        <v>1</v>
      </c>
      <c r="R250">
        <f t="shared" si="3"/>
        <v>1</v>
      </c>
    </row>
    <row r="251" spans="1:18">
      <c r="A251" s="36" t="s">
        <v>817</v>
      </c>
      <c r="B251" s="46" t="s">
        <v>818</v>
      </c>
      <c r="H251">
        <v>1</v>
      </c>
      <c r="R251">
        <f t="shared" si="3"/>
        <v>1</v>
      </c>
    </row>
    <row r="252" spans="1:18">
      <c r="A252" s="36" t="s">
        <v>819</v>
      </c>
      <c r="B252" s="46" t="s">
        <v>820</v>
      </c>
      <c r="I252">
        <v>1</v>
      </c>
      <c r="R252">
        <f t="shared" si="3"/>
        <v>1</v>
      </c>
    </row>
    <row r="253" spans="1:18">
      <c r="A253" s="46" t="s">
        <v>821</v>
      </c>
      <c r="B253" s="46" t="s">
        <v>822</v>
      </c>
      <c r="G253">
        <f>24+1+1</f>
        <v>26</v>
      </c>
      <c r="R253">
        <f t="shared" si="3"/>
        <v>26</v>
      </c>
    </row>
    <row r="254" spans="1:18">
      <c r="A254" s="46" t="s">
        <v>823</v>
      </c>
      <c r="B254" s="46" t="s">
        <v>824</v>
      </c>
      <c r="J254">
        <v>1</v>
      </c>
      <c r="R254">
        <f t="shared" si="3"/>
        <v>1</v>
      </c>
    </row>
    <row r="255" spans="1:18">
      <c r="A255" s="46" t="s">
        <v>825</v>
      </c>
      <c r="B255" s="46" t="s">
        <v>826</v>
      </c>
      <c r="G255">
        <v>22</v>
      </c>
      <c r="R255">
        <f t="shared" si="3"/>
        <v>22</v>
      </c>
    </row>
    <row r="256" spans="1:18">
      <c r="A256" s="36" t="s">
        <v>827</v>
      </c>
      <c r="B256" s="36" t="s">
        <v>828</v>
      </c>
      <c r="R256">
        <f t="shared" si="3"/>
        <v>0</v>
      </c>
    </row>
    <row r="257" spans="1:18">
      <c r="A257" s="36" t="s">
        <v>829</v>
      </c>
      <c r="B257" s="46" t="s">
        <v>830</v>
      </c>
      <c r="G257">
        <v>2</v>
      </c>
      <c r="R257">
        <f t="shared" si="3"/>
        <v>2</v>
      </c>
    </row>
    <row r="258" spans="1:18">
      <c r="A258" s="36" t="s">
        <v>831</v>
      </c>
      <c r="B258" s="36" t="s">
        <v>832</v>
      </c>
      <c r="C258" s="36">
        <v>1</v>
      </c>
      <c r="G258">
        <v>2</v>
      </c>
      <c r="R258">
        <f t="shared" si="3"/>
        <v>3</v>
      </c>
    </row>
    <row r="259" spans="1:18">
      <c r="A259" s="36" t="s">
        <v>831</v>
      </c>
      <c r="B259" s="46" t="s">
        <v>833</v>
      </c>
      <c r="C259" s="36">
        <v>2</v>
      </c>
      <c r="R259">
        <f t="shared" si="3"/>
        <v>2</v>
      </c>
    </row>
    <row r="260" spans="1:18">
      <c r="A260" s="40" t="s">
        <v>834</v>
      </c>
      <c r="B260" s="36" t="s">
        <v>835</v>
      </c>
      <c r="C260" s="40"/>
      <c r="D260">
        <v>1</v>
      </c>
      <c r="J260">
        <v>1</v>
      </c>
      <c r="R260">
        <f t="shared" si="3"/>
        <v>2</v>
      </c>
    </row>
    <row r="261" spans="1:18">
      <c r="A261" s="40" t="s">
        <v>836</v>
      </c>
      <c r="B261" s="36" t="s">
        <v>837</v>
      </c>
      <c r="C261" s="40"/>
      <c r="D261">
        <v>1</v>
      </c>
      <c r="E261">
        <v>17</v>
      </c>
      <c r="G261">
        <v>49</v>
      </c>
      <c r="L261">
        <v>2</v>
      </c>
      <c r="N261">
        <v>8</v>
      </c>
      <c r="Q261">
        <v>3</v>
      </c>
      <c r="R261">
        <f t="shared" si="3"/>
        <v>80</v>
      </c>
    </row>
    <row r="262" spans="1:18">
      <c r="A262" s="36" t="s">
        <v>838</v>
      </c>
      <c r="B262" s="36" t="s">
        <v>839</v>
      </c>
      <c r="F262">
        <v>2</v>
      </c>
      <c r="P262">
        <v>2</v>
      </c>
      <c r="R262">
        <f t="shared" si="3"/>
        <v>4</v>
      </c>
    </row>
    <row r="263" spans="1:18">
      <c r="A263" s="46" t="s">
        <v>840</v>
      </c>
      <c r="B263" s="46" t="s">
        <v>841</v>
      </c>
      <c r="G263">
        <v>2</v>
      </c>
      <c r="R263">
        <f t="shared" si="3"/>
        <v>2</v>
      </c>
    </row>
    <row r="264" spans="1:18">
      <c r="A264" s="39" t="s">
        <v>842</v>
      </c>
      <c r="C264">
        <f t="shared" ref="C264:N264" si="4">SUM(C5:C263)</f>
        <v>10</v>
      </c>
      <c r="D264">
        <f t="shared" si="4"/>
        <v>11</v>
      </c>
      <c r="E264">
        <f t="shared" si="4"/>
        <v>284</v>
      </c>
      <c r="F264">
        <f t="shared" si="4"/>
        <v>106</v>
      </c>
      <c r="G264">
        <f t="shared" si="4"/>
        <v>1056</v>
      </c>
      <c r="H264">
        <f t="shared" si="4"/>
        <v>16</v>
      </c>
      <c r="I264">
        <f t="shared" si="4"/>
        <v>26</v>
      </c>
      <c r="J264">
        <f t="shared" si="4"/>
        <v>16</v>
      </c>
      <c r="K264">
        <f t="shared" si="4"/>
        <v>31</v>
      </c>
      <c r="L264">
        <f t="shared" si="4"/>
        <v>117</v>
      </c>
      <c r="M264">
        <f t="shared" si="4"/>
        <v>89</v>
      </c>
      <c r="N264">
        <f t="shared" si="4"/>
        <v>172</v>
      </c>
      <c r="O264">
        <f>SUM(O5:O263)</f>
        <v>91</v>
      </c>
      <c r="P264">
        <f>SUM(P5:P263)</f>
        <v>58</v>
      </c>
      <c r="Q264">
        <f>SUM(Q5:Q263)</f>
        <v>83</v>
      </c>
      <c r="R264">
        <f>SUM(C264:Q264)</f>
        <v>2166</v>
      </c>
    </row>
    <row r="265" spans="1:18" ht="29.1">
      <c r="A265" s="56"/>
      <c r="B265" s="39"/>
      <c r="C265" s="57" t="s">
        <v>16</v>
      </c>
      <c r="D265" s="57" t="s">
        <v>19</v>
      </c>
      <c r="E265" s="57" t="s">
        <v>6</v>
      </c>
      <c r="F265" s="57" t="s">
        <v>7</v>
      </c>
      <c r="G265" s="57" t="s">
        <v>20</v>
      </c>
      <c r="H265" s="57" t="s">
        <v>21</v>
      </c>
      <c r="I265" s="57" t="s">
        <v>21</v>
      </c>
      <c r="J265" s="57" t="s">
        <v>22</v>
      </c>
      <c r="K265" s="57" t="s">
        <v>24</v>
      </c>
      <c r="L265" s="57" t="s">
        <v>10</v>
      </c>
      <c r="M265" s="57" t="s">
        <v>11</v>
      </c>
      <c r="N265" s="57" t="s">
        <v>11</v>
      </c>
      <c r="O265" s="57" t="s">
        <v>13</v>
      </c>
      <c r="P265" s="58" t="s">
        <v>14</v>
      </c>
      <c r="Q265" s="57" t="s">
        <v>15</v>
      </c>
    </row>
    <row r="267" spans="1:18">
      <c r="C267" t="s">
        <v>843</v>
      </c>
      <c r="D267" t="s">
        <v>843</v>
      </c>
      <c r="E267" t="s">
        <v>843</v>
      </c>
      <c r="F267" t="s">
        <v>843</v>
      </c>
      <c r="G267" t="s">
        <v>843</v>
      </c>
      <c r="H267" t="s">
        <v>843</v>
      </c>
      <c r="I267" t="s">
        <v>843</v>
      </c>
      <c r="J267" t="s">
        <v>843</v>
      </c>
      <c r="K267" t="s">
        <v>843</v>
      </c>
      <c r="L267" t="s">
        <v>843</v>
      </c>
      <c r="M267" t="s">
        <v>843</v>
      </c>
      <c r="N267" t="s">
        <v>843</v>
      </c>
      <c r="O267" t="s">
        <v>843</v>
      </c>
      <c r="P267" t="s">
        <v>843</v>
      </c>
      <c r="Q267" t="s">
        <v>843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Jennings, Emma</dc:creator>
  <cp:keywords/>
  <dc:description/>
  <cp:lastModifiedBy/>
  <cp:revision/>
  <dcterms:created xsi:type="dcterms:W3CDTF">2019-04-06T21:17:59Z</dcterms:created>
  <dcterms:modified xsi:type="dcterms:W3CDTF">2019-05-30T17:48:33Z</dcterms:modified>
  <cp:category/>
  <cp:contentStatus/>
</cp:coreProperties>
</file>