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0">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f>'14345'!H40</f>
        <v>576</v>
      </c>
      <c r="AA9" s="1738" t="n"/>
      <c r="AB9" s="1745" t="n"/>
      <c r="AC9" s="1745" t="n"/>
      <c r="AD9" s="717" t="n"/>
      <c r="AE9" s="1745" t="n"/>
      <c r="AF9" s="1745" t="n"/>
    </row>
    <row r="10" ht="15.75" customHeight="1" s="667">
      <c r="A10" s="450" t="n"/>
      <c r="E10" s="743" t="n">
        <v>17110</v>
      </c>
      <c r="H10" s="745" t="inlineStr">
        <is>
          <t>Academic Instruction Building</t>
        </is>
      </c>
      <c r="W10">
        <f>'17110'!H40</f>
        <v>0</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t="inlineStr">
        <is>
          <t>TBD</t>
        </is>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t="inlineStr">
        <is>
          <t>TBD</t>
        </is>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t="inlineStr">
        <is>
          <t>TBD</t>
        </is>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t="inlineStr">
        <is>
          <t>TBD pending per-CCN verification</t>
        </is>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FOSTER BUILDING TBD</t>
        </is>
      </c>
    </row>
    <row r="209" ht="12.75" customHeight="1" s="667">
      <c r="A209" s="427" t="n"/>
      <c r="B209" s="763" t="n"/>
    </row>
    <row r="210" ht="12.75" customHeight="1" s="667">
      <c r="A210" s="427" t="n"/>
      <c r="B210" s="756" t="inlineStr">
        <is>
          <t>OKINAWA, JAPAN (MCB Camp Butler / Camp Foster post-relocation)</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t="inlineStr">
        <is>
          <t>TBD</t>
        </is>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v>576</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v>0</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751" t="n"/>
      <c r="D28" s="1751" t="n"/>
      <c r="E28" s="2153" t="inlineStr">
        <is>
          <t>SURGICAL CO B</t>
        </is>
      </c>
      <c r="F28" s="1751" t="n"/>
      <c r="G28" s="1751" t="n"/>
      <c r="H28" s="1751" t="n"/>
      <c r="I28" s="1751" t="n"/>
      <c r="J28" s="1751" t="n"/>
      <c r="K28" s="1751" t="n"/>
      <c r="L28" s="1751" t="n"/>
      <c r="M28" s="2154">
        <f>V35</f>
        <v/>
      </c>
      <c r="N28" s="1751" t="n"/>
      <c r="O28" s="1751" t="n"/>
      <c r="P28" s="2052">
        <f>AB49</f>
        <v/>
      </c>
      <c r="S28" s="23" t="n"/>
      <c r="T28" s="1751" t="n"/>
      <c r="U28" s="1751" t="n"/>
      <c r="V28" s="2155">
        <f>Z62</f>
        <v/>
      </c>
      <c r="W28" s="1751" t="n"/>
      <c r="X28" s="1751" t="n"/>
      <c r="Y28" s="2155">
        <f>INDEX($P$69:$P$72,MATCH(B28,$B$69:$B$72,0))</f>
        <v/>
      </c>
      <c r="Z28" s="1751" t="n"/>
      <c r="AA28" s="1751" t="n"/>
      <c r="AB28" s="2156">
        <f>SUM(M28:AA28)</f>
        <v/>
      </c>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E35" s="2158" t="inlineStr">
        <is>
          <t>SURGICAL CO B</t>
        </is>
      </c>
      <c r="M35" s="2062">
        <f>COUNTIFS(TO!C:C,"44112o",TO!F:F,$B$35)</f>
        <v/>
      </c>
      <c r="P35" s="2062">
        <f>COUNTIFS(TO!C:C,"44112c",TO!F:F,$B$35)</f>
        <v/>
      </c>
      <c r="S35" s="2159">
        <f>COUNTIFS(TO!C:C,"44112w",TO!F:F,$B$35)</f>
        <v/>
      </c>
      <c r="V35" s="2156">
        <f>M35*$M$31+P35*$P$31+S35*$S$31</f>
        <v/>
      </c>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751" t="n"/>
      <c r="D49" s="1751" t="n"/>
      <c r="E49" s="2161" t="inlineStr">
        <is>
          <t>SURGICAL CO B</t>
        </is>
      </c>
      <c r="F49" s="1751" t="n"/>
      <c r="G49" s="1751" t="n"/>
      <c r="H49" s="1751" t="n"/>
      <c r="I49" s="1751" t="n"/>
      <c r="J49" s="1751" t="n"/>
      <c r="K49" s="1751" t="n"/>
      <c r="L49" s="2162">
        <f>SUMIFS(TE!U:U,TE!D:D,$C$5,TE!G:G,B49,TE!U:U,"&lt;&gt;#N/A")</f>
        <v/>
      </c>
      <c r="M49" s="1751" t="n"/>
      <c r="N49" s="1751" t="n"/>
      <c r="O49" s="1751" t="n"/>
      <c r="P49" s="2163">
        <f>1.96*L49</f>
        <v/>
      </c>
      <c r="T49" s="2164">
        <f>P49/12</f>
        <v/>
      </c>
      <c r="X49" s="2165">
        <f>T49*$X$45</f>
        <v/>
      </c>
      <c r="Y49" s="1751" t="n"/>
      <c r="Z49" s="1751" t="n"/>
      <c r="AA49" s="1751" t="n"/>
      <c r="AB49" s="2166">
        <f>X49*$AB$45</f>
        <v/>
      </c>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E72" s="2168" t="inlineStr">
        <is>
          <t>SURGICAL CO B</t>
        </is>
      </c>
      <c r="M72" s="2169">
        <f>COUNTIFS(TO!AP:AP,"1",TO!F:F,"M28262")</f>
        <v/>
      </c>
      <c r="P72" s="2166">
        <f>M72*1.33</f>
        <v/>
      </c>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Z54:AC54"/>
    <mergeCell ref="P63:S63"/>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f>COUNTIFS(TO!D:D,"61072",TO!F:F,$B$26)</f>
        <v>39</v>
      </c>
      <c r="N26" s="1736" t="n"/>
      <c r="O26" s="1736" t="n"/>
      <c r="P26">
        <f>M26*$Y$25</f>
        <v>6337.5</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f>COUNTIFS(TO!D:D,"61072",TO!F:F,$B$27)</f>
        <v>0</v>
      </c>
      <c r="P27">
        <f>M27*$Y$25</f>
        <v>0.0</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f>COUNTIFS(TO!D:D,"61072",TO!F:F,$B$28)</f>
        <v>0</v>
      </c>
      <c r="N28" s="2132" t="n"/>
      <c r="O28" s="2132" t="n"/>
      <c r="P28">
        <f>M28*$Y$25</f>
        <v>0.0</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f>SUM(P26:S29)</f>
        <v>6337.5</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t="inlineStr">
        <is>
          <t>TBD</t>
        </is>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t="inlineStr">
        <is>
          <t>TBD</t>
        </is>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2026-05-06T01:49:36Z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