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-miyake\Dropbox\EMSES_tutorial\"/>
    </mc:Choice>
  </mc:AlternateContent>
  <xr:revisionPtr revIDLastSave="0" documentId="13_ncr:1_{B8CFAA00-107C-4905-8611-6954EF67F4E7}" xr6:coauthVersionLast="47" xr6:coauthVersionMax="47" xr10:uidLastSave="{00000000-0000-0000-0000-000000000000}"/>
  <bookViews>
    <workbookView xWindow="1645" yWindow="2975" windowWidth="18800" windowHeight="15480" xr2:uid="{00000000-000D-0000-FFFF-FFFF00000000}"/>
  </bookViews>
  <sheets>
    <sheet name="parameter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9" i="2"/>
  <c r="C5" i="2" l="1"/>
  <c r="C19" i="2"/>
  <c r="C38" i="2" l="1"/>
  <c r="C39" i="2" s="1"/>
  <c r="E16" i="1"/>
  <c r="L28" i="1"/>
  <c r="M19" i="1"/>
  <c r="L6" i="1"/>
  <c r="L2" i="1"/>
  <c r="L10" i="1"/>
  <c r="M10" i="1" s="1"/>
  <c r="L13" i="1"/>
  <c r="M13" i="1" l="1"/>
  <c r="C30" i="2"/>
  <c r="C27" i="2"/>
  <c r="C25" i="2"/>
  <c r="C31" i="2" l="1"/>
  <c r="C28" i="2"/>
  <c r="E17" i="1"/>
  <c r="C23" i="2"/>
  <c r="M14" i="1"/>
  <c r="M11" i="1"/>
  <c r="G15" i="1" l="1"/>
  <c r="M28" i="1" l="1"/>
  <c r="F3" i="1" l="1"/>
  <c r="F4" i="1"/>
  <c r="E8" i="1"/>
  <c r="E7" i="1" s="1"/>
  <c r="C21" i="2" s="1"/>
  <c r="E12" i="1"/>
  <c r="G32" i="1" s="1"/>
  <c r="F13" i="1"/>
  <c r="E15" i="1"/>
  <c r="G22" i="1"/>
  <c r="N21" i="1" s="1"/>
  <c r="G23" i="1"/>
  <c r="G51" i="1" s="1"/>
  <c r="E51" i="1" s="1"/>
  <c r="M7" i="1" l="1"/>
  <c r="M8" i="1"/>
  <c r="M2" i="1"/>
  <c r="M4" i="1"/>
  <c r="M3" i="1"/>
  <c r="M6" i="1"/>
  <c r="N14" i="1"/>
  <c r="N20" i="1"/>
  <c r="N13" i="1"/>
  <c r="C43" i="2" s="1"/>
  <c r="C44" i="2" s="1"/>
  <c r="N11" i="1"/>
  <c r="N10" i="1"/>
  <c r="C40" i="2" s="1"/>
  <c r="C41" i="2" s="1"/>
  <c r="N19" i="1"/>
  <c r="C42" i="2" s="1"/>
  <c r="G29" i="1"/>
  <c r="G42" i="1" s="1"/>
  <c r="G35" i="1"/>
  <c r="G63" i="1" s="1"/>
  <c r="E63" i="1" s="1"/>
  <c r="G41" i="1"/>
  <c r="F23" i="1"/>
  <c r="G20" i="1"/>
  <c r="G21" i="1" s="1"/>
  <c r="N28" i="1" s="1"/>
  <c r="C36" i="2" s="1"/>
  <c r="G24" i="1"/>
  <c r="F24" i="1" s="1"/>
  <c r="F22" i="1"/>
  <c r="G36" i="1"/>
  <c r="G60" i="1"/>
  <c r="E60" i="1" s="1"/>
  <c r="F32" i="1"/>
  <c r="G50" i="1"/>
  <c r="E50" i="1" s="1"/>
  <c r="G28" i="1" l="1"/>
  <c r="G56" i="1" s="1"/>
  <c r="E56" i="1" s="1"/>
  <c r="G26" i="1"/>
  <c r="G27" i="1"/>
  <c r="G55" i="1" s="1"/>
  <c r="E55" i="1" s="1"/>
  <c r="F29" i="1"/>
  <c r="G57" i="1"/>
  <c r="E57" i="1" s="1"/>
  <c r="G39" i="1"/>
  <c r="G67" i="1" s="1"/>
  <c r="E67" i="1" s="1"/>
  <c r="G25" i="1"/>
  <c r="F25" i="1" s="1"/>
  <c r="G30" i="1"/>
  <c r="G31" i="1" s="1"/>
  <c r="G38" i="1"/>
  <c r="F38" i="1" s="1"/>
  <c r="G40" i="1"/>
  <c r="F8" i="1" s="1"/>
  <c r="G19" i="1"/>
  <c r="F19" i="1" s="1"/>
  <c r="G37" i="1"/>
  <c r="G65" i="1" s="1"/>
  <c r="E65" i="1" s="1"/>
  <c r="C45" i="2"/>
  <c r="N3" i="1"/>
  <c r="N2" i="1"/>
  <c r="C34" i="2" s="1"/>
  <c r="N6" i="1"/>
  <c r="C35" i="2" s="1"/>
  <c r="N7" i="1"/>
  <c r="N4" i="1"/>
  <c r="N8" i="1"/>
  <c r="F35" i="1"/>
  <c r="G33" i="1"/>
  <c r="G34" i="1" s="1"/>
  <c r="C47" i="2" s="1"/>
  <c r="F21" i="1"/>
  <c r="F20" i="1"/>
  <c r="G49" i="1"/>
  <c r="E49" i="1" s="1"/>
  <c r="G48" i="1"/>
  <c r="E48" i="1" s="1"/>
  <c r="G52" i="1"/>
  <c r="E52" i="1" s="1"/>
  <c r="G69" i="1"/>
  <c r="E69" i="1" s="1"/>
  <c r="F41" i="1"/>
  <c r="G64" i="1"/>
  <c r="E64" i="1" s="1"/>
  <c r="F36" i="1"/>
  <c r="G43" i="1"/>
  <c r="G70" i="1"/>
  <c r="E70" i="1" s="1"/>
  <c r="F42" i="1"/>
  <c r="G54" i="1"/>
  <c r="E54" i="1" s="1"/>
  <c r="F26" i="1"/>
  <c r="C48" i="2" l="1"/>
  <c r="G66" i="1"/>
  <c r="E66" i="1" s="1"/>
  <c r="F28" i="1"/>
  <c r="F27" i="1"/>
  <c r="G53" i="1"/>
  <c r="E53" i="1" s="1"/>
  <c r="F39" i="1"/>
  <c r="F30" i="1"/>
  <c r="F9" i="1"/>
  <c r="G58" i="1"/>
  <c r="E58" i="1" s="1"/>
  <c r="F40" i="1"/>
  <c r="F37" i="1"/>
  <c r="G68" i="1"/>
  <c r="E68" i="1" s="1"/>
  <c r="G47" i="1"/>
  <c r="E47" i="1" s="1"/>
  <c r="F10" i="1"/>
  <c r="F11" i="1"/>
  <c r="F33" i="1"/>
  <c r="G61" i="1"/>
  <c r="E61" i="1" s="1"/>
  <c r="G71" i="1"/>
  <c r="E71" i="1" s="1"/>
  <c r="F43" i="1"/>
  <c r="F31" i="1"/>
  <c r="G59" i="1"/>
  <c r="E59" i="1" s="1"/>
  <c r="G62" i="1"/>
  <c r="E62" i="1" s="1"/>
  <c r="F34" i="1"/>
</calcChain>
</file>

<file path=xl/sharedStrings.xml><?xml version="1.0" encoding="utf-8"?>
<sst xmlns="http://schemas.openxmlformats.org/spreadsheetml/2006/main" count="336" uniqueCount="177">
  <si>
    <t>p</t>
  </si>
  <si>
    <t>-</t>
  </si>
  <si>
    <t>e</t>
  </si>
  <si>
    <t>c</t>
  </si>
  <si>
    <t>l</t>
  </si>
  <si>
    <t>m</t>
  </si>
  <si>
    <t>R→S</t>
  </si>
  <si>
    <t>kg</t>
  </si>
  <si>
    <t>t</t>
  </si>
  <si>
    <t>s</t>
  </si>
  <si>
    <t>l/v</t>
  </si>
  <si>
    <t>f</t>
  </si>
  <si>
    <t>Hz</t>
  </si>
  <si>
    <t>1/t</t>
  </si>
  <si>
    <t>v</t>
  </si>
  <si>
    <t>n</t>
  </si>
  <si>
    <t>1/l^3</t>
  </si>
  <si>
    <t>N</t>
  </si>
  <si>
    <t>v*n</t>
  </si>
  <si>
    <t>F</t>
  </si>
  <si>
    <t>P</t>
  </si>
  <si>
    <t>W</t>
  </si>
  <si>
    <t>J</t>
  </si>
  <si>
    <t>w</t>
  </si>
  <si>
    <t>J/l^3</t>
  </si>
  <si>
    <t>q</t>
  </si>
  <si>
    <t>C</t>
  </si>
  <si>
    <t>q/l^3</t>
  </si>
  <si>
    <t>I</t>
  </si>
  <si>
    <t>A</t>
  </si>
  <si>
    <t>I/l^2</t>
  </si>
  <si>
    <t>V</t>
  </si>
  <si>
    <t>E</t>
  </si>
  <si>
    <t>R</t>
  </si>
  <si>
    <t>G</t>
  </si>
  <si>
    <t>S</t>
  </si>
  <si>
    <t>B</t>
  </si>
  <si>
    <t>T</t>
  </si>
  <si>
    <t>L</t>
  </si>
  <si>
    <t>H</t>
  </si>
  <si>
    <t>K</t>
  </si>
  <si>
    <t>S→R</t>
  </si>
  <si>
    <r>
      <t>e</t>
    </r>
    <r>
      <rPr>
        <vertAlign val="subscript"/>
        <sz val="11"/>
        <color indexed="8"/>
        <rFont val="ＭＳ Ｐゴシック"/>
        <family val="3"/>
        <charset val="128"/>
      </rPr>
      <t>0</t>
    </r>
    <phoneticPr fontId="3"/>
  </si>
  <si>
    <r>
      <t>m</t>
    </r>
    <r>
      <rPr>
        <vertAlign val="subscript"/>
        <sz val="11"/>
        <color indexed="8"/>
        <rFont val="ＭＳ Ｐゴシック"/>
        <family val="3"/>
        <charset val="128"/>
      </rPr>
      <t>0</t>
    </r>
    <phoneticPr fontId="3"/>
  </si>
  <si>
    <r>
      <t>q</t>
    </r>
    <r>
      <rPr>
        <vertAlign val="subscript"/>
        <sz val="11"/>
        <color indexed="8"/>
        <rFont val="ＭＳ Ｐゴシック"/>
        <family val="3"/>
        <charset val="128"/>
      </rPr>
      <t>e</t>
    </r>
    <phoneticPr fontId="3"/>
  </si>
  <si>
    <r>
      <t>m</t>
    </r>
    <r>
      <rPr>
        <vertAlign val="subscript"/>
        <sz val="11"/>
        <color indexed="8"/>
        <rFont val="ＭＳ Ｐゴシック"/>
        <family val="3"/>
        <charset val="128"/>
      </rPr>
      <t>e</t>
    </r>
    <phoneticPr fontId="3"/>
  </si>
  <si>
    <r>
      <t>m</t>
    </r>
    <r>
      <rPr>
        <vertAlign val="subscript"/>
        <sz val="11"/>
        <color indexed="8"/>
        <rFont val="ＭＳ Ｐゴシック"/>
        <family val="3"/>
        <charset val="128"/>
      </rPr>
      <t>i</t>
    </r>
    <phoneticPr fontId="3"/>
  </si>
  <si>
    <r>
      <t>q</t>
    </r>
    <r>
      <rPr>
        <vertAlign val="subscript"/>
        <sz val="11"/>
        <color indexed="8"/>
        <rFont val="ＭＳ Ｐゴシック"/>
        <family val="3"/>
        <charset val="128"/>
      </rPr>
      <t>e</t>
    </r>
    <r>
      <rPr>
        <sz val="11"/>
        <color theme="1"/>
        <rFont val="ＭＳ Ｐゴシック"/>
        <family val="3"/>
        <charset val="128"/>
        <scheme val="minor"/>
      </rPr>
      <t>/m</t>
    </r>
    <r>
      <rPr>
        <vertAlign val="subscript"/>
        <sz val="11"/>
        <color indexed="8"/>
        <rFont val="ＭＳ Ｐゴシック"/>
        <family val="3"/>
        <charset val="128"/>
      </rPr>
      <t>e</t>
    </r>
    <phoneticPr fontId="3"/>
  </si>
  <si>
    <r>
      <t>k</t>
    </r>
    <r>
      <rPr>
        <vertAlign val="subscript"/>
        <sz val="11"/>
        <color indexed="8"/>
        <rFont val="ＭＳ Ｐゴシック"/>
        <family val="3"/>
        <charset val="128"/>
      </rPr>
      <t>B</t>
    </r>
    <phoneticPr fontId="3"/>
  </si>
  <si>
    <t>e</t>
    <phoneticPr fontId="3"/>
  </si>
  <si>
    <r>
      <t>qm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</si>
  <si>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t>r</t>
    <phoneticPr fontId="3"/>
  </si>
  <si>
    <t>m</t>
    <phoneticPr fontId="3"/>
  </si>
  <si>
    <r>
      <t>ms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</si>
  <si>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m</t>
    </r>
    <r>
      <rPr>
        <vertAlign val="superscript"/>
        <sz val="11"/>
        <color indexed="8"/>
        <rFont val="ＭＳ Ｐゴシック"/>
        <family val="3"/>
        <charset val="128"/>
      </rPr>
      <t>-3</t>
    </r>
    <phoneticPr fontId="3"/>
  </si>
  <si>
    <r>
      <t>m</t>
    </r>
    <r>
      <rPr>
        <vertAlign val="superscript"/>
        <sz val="11"/>
        <color indexed="8"/>
        <rFont val="ＭＳ Ｐゴシック"/>
        <family val="3"/>
        <charset val="128"/>
      </rPr>
      <t>-2</t>
    </r>
    <r>
      <rPr>
        <sz val="11"/>
        <color theme="1"/>
        <rFont val="ＭＳ Ｐゴシック"/>
        <family val="3"/>
        <charset val="128"/>
        <scheme val="minor"/>
      </rPr>
      <t>s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</si>
  <si>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Jm</t>
    </r>
    <r>
      <rPr>
        <vertAlign val="superscript"/>
        <sz val="11"/>
        <color indexed="8"/>
        <rFont val="ＭＳ Ｐゴシック"/>
        <family val="3"/>
        <charset val="128"/>
      </rPr>
      <t>-3</t>
    </r>
    <phoneticPr fontId="3"/>
  </si>
  <si>
    <r>
      <t>Ckg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</si>
  <si>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Am</t>
    </r>
    <r>
      <rPr>
        <vertAlign val="superscript"/>
        <sz val="11"/>
        <color indexed="8"/>
        <rFont val="ＭＳ Ｐゴシック"/>
        <family val="3"/>
        <charset val="128"/>
      </rPr>
      <t>-2</t>
    </r>
    <phoneticPr fontId="3"/>
  </si>
  <si>
    <r>
      <t>Cm</t>
    </r>
    <r>
      <rPr>
        <vertAlign val="superscript"/>
        <sz val="11"/>
        <color indexed="8"/>
        <rFont val="ＭＳ Ｐゴシック"/>
        <family val="3"/>
        <charset val="128"/>
      </rPr>
      <t>-3</t>
    </r>
    <phoneticPr fontId="3"/>
  </si>
  <si>
    <r>
      <t>Fm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</si>
  <si>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Vm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</si>
  <si>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Hm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</si>
  <si>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)^2*l*v^2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</si>
  <si>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)^2*v^4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</si>
  <si>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)^2*v^5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</si>
  <si>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)^2*l*v^4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</si>
  <si>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*l</t>
    </r>
    <phoneticPr fontId="3"/>
  </si>
  <si>
    <r>
      <t>1/</t>
    </r>
    <r>
      <rPr>
        <sz val="11"/>
        <color indexed="8"/>
        <rFont val="Symbol"/>
        <family val="1"/>
        <charset val="2"/>
      </rPr>
      <t>e</t>
    </r>
    <r>
      <rPr>
        <sz val="11"/>
        <color theme="1"/>
        <rFont val="ＭＳ Ｐゴシック"/>
        <family val="3"/>
        <charset val="128"/>
        <scheme val="minor"/>
      </rPr>
      <t>/v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</si>
  <si>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*v</t>
    </r>
    <phoneticPr fontId="3"/>
  </si>
  <si>
    <r>
      <t>1/</t>
    </r>
    <r>
      <rPr>
        <sz val="11"/>
        <color indexed="8"/>
        <rFont val="Symbol"/>
        <family val="1"/>
        <charset val="2"/>
      </rPr>
      <t>e</t>
    </r>
    <r>
      <rPr>
        <sz val="11"/>
        <color theme="1"/>
        <rFont val="ＭＳ Ｐゴシック"/>
        <family val="3"/>
        <charset val="128"/>
        <scheme val="minor"/>
      </rPr>
      <t>/v^2</t>
    </r>
    <phoneticPr fontId="3"/>
  </si>
  <si>
    <r>
      <t>l/v^2/</t>
    </r>
    <r>
      <rPr>
        <sz val="11"/>
        <color indexed="8"/>
        <rFont val="Symbol"/>
        <family val="1"/>
        <charset val="2"/>
      </rPr>
      <t>e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</si>
  <si>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)*l*v^2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</si>
  <si>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)*v^3</t>
    </r>
    <phoneticPr fontId="3"/>
  </si>
  <si>
    <r>
      <t>v^2/(qm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</t>
    </r>
    <phoneticPr fontId="3"/>
  </si>
  <si>
    <r>
      <t>v^2/(qm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)/l</t>
    </r>
    <phoneticPr fontId="3"/>
  </si>
  <si>
    <r>
      <t>v/l/(qm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</t>
    </r>
    <phoneticPr fontId="3"/>
  </si>
  <si>
    <r>
      <t>W/k</t>
    </r>
    <r>
      <rPr>
        <vertAlign val="subscript"/>
        <sz val="11"/>
        <color indexed="8"/>
        <rFont val="ＭＳ Ｐゴシック"/>
        <family val="3"/>
        <charset val="128"/>
      </rPr>
      <t>B</t>
    </r>
    <phoneticPr fontId="3"/>
  </si>
  <si>
    <t>wpe</t>
    <phoneticPr fontId="3"/>
  </si>
  <si>
    <t>wpi</t>
    <phoneticPr fontId="3"/>
  </si>
  <si>
    <t>t</t>
    <phoneticPr fontId="3"/>
  </si>
  <si>
    <t>vthe</t>
    <phoneticPr fontId="3"/>
  </si>
  <si>
    <t>V</t>
    <phoneticPr fontId="3"/>
  </si>
  <si>
    <t>wce</t>
    <phoneticPr fontId="3"/>
  </si>
  <si>
    <t>vthi</t>
    <phoneticPr fontId="3"/>
  </si>
  <si>
    <t>Grid width (cm)</t>
    <phoneticPr fontId="3"/>
  </si>
  <si>
    <t>Plasma density (/cc)</t>
    <phoneticPr fontId="3"/>
  </si>
  <si>
    <t>wp(1)</t>
    <phoneticPr fontId="3"/>
  </si>
  <si>
    <t>wp(2)</t>
    <phoneticPr fontId="3"/>
  </si>
  <si>
    <t>wc</t>
    <phoneticPr fontId="3"/>
  </si>
  <si>
    <t>&amp;plasma</t>
    <phoneticPr fontId="3"/>
  </si>
  <si>
    <t>&amp;intp</t>
    <phoneticPr fontId="3"/>
  </si>
  <si>
    <t>path(1)</t>
    <phoneticPr fontId="3"/>
  </si>
  <si>
    <t>peth(1)</t>
    <phoneticPr fontId="3"/>
  </si>
  <si>
    <t>path(2)</t>
    <phoneticPr fontId="3"/>
  </si>
  <si>
    <t>peth(2)</t>
    <phoneticPr fontId="3"/>
  </si>
  <si>
    <t>Plasma parameters</t>
    <phoneticPr fontId="3"/>
  </si>
  <si>
    <t>plasma.inp</t>
    <phoneticPr fontId="3"/>
  </si>
  <si>
    <t>Magnetic field (microT)</t>
    <phoneticPr fontId="3"/>
  </si>
  <si>
    <t>Debye length (cm)</t>
    <phoneticPr fontId="3"/>
  </si>
  <si>
    <t>Electron gyro radius (cm)</t>
    <phoneticPr fontId="3"/>
  </si>
  <si>
    <t>Ion gyro radius (cm)</t>
    <phoneticPr fontId="3"/>
  </si>
  <si>
    <t>Plasma flow speed (m/s)</t>
    <phoneticPr fontId="3"/>
  </si>
  <si>
    <t>Ion acoustic speed #1 (m/s)</t>
    <phoneticPr fontId="3"/>
  </si>
  <si>
    <t>Mach number #1</t>
    <phoneticPr fontId="3"/>
  </si>
  <si>
    <t>Ion acoustic speed #2 (m/s)</t>
    <phoneticPr fontId="3"/>
  </si>
  <si>
    <t>Mach number #2</t>
    <phoneticPr fontId="3"/>
  </si>
  <si>
    <t>Constants
(math.)</t>
    <phoneticPr fontId="3"/>
  </si>
  <si>
    <t>Circular constant</t>
    <phoneticPr fontId="3"/>
  </si>
  <si>
    <t>Napier's constant</t>
    <phoneticPr fontId="3"/>
  </si>
  <si>
    <t>Constants
(physics)</t>
    <phoneticPr fontId="3"/>
  </si>
  <si>
    <t>Light speed</t>
    <phoneticPr fontId="3"/>
  </si>
  <si>
    <t>FS-Permittivity</t>
    <phoneticPr fontId="3"/>
  </si>
  <si>
    <t>FS-Permeability</t>
    <phoneticPr fontId="3"/>
  </si>
  <si>
    <t>Elementary charge</t>
    <phoneticPr fontId="3"/>
  </si>
  <si>
    <t>Electron mass</t>
    <phoneticPr fontId="3"/>
  </si>
  <si>
    <t>Proton mass</t>
    <phoneticPr fontId="3"/>
  </si>
  <si>
    <t>Electron charge-to-mass ratio</t>
    <phoneticPr fontId="3"/>
  </si>
  <si>
    <t>Boltzmann constant</t>
    <phoneticPr fontId="3"/>
  </si>
  <si>
    <t>Parameter</t>
    <phoneticPr fontId="3"/>
  </si>
  <si>
    <t>Sim-to-Real length ratio</t>
    <phoneticPr fontId="3"/>
  </si>
  <si>
    <t>Physical unit</t>
    <phoneticPr fontId="3"/>
  </si>
  <si>
    <t>EMSES unit</t>
    <phoneticPr fontId="3"/>
  </si>
  <si>
    <t>Conversion coefficient</t>
    <phoneticPr fontId="3"/>
  </si>
  <si>
    <t>Physical unit</t>
    <phoneticPr fontId="3"/>
  </si>
  <si>
    <t>Conversion coefficient</t>
    <phoneticPr fontId="3"/>
  </si>
  <si>
    <t>Mass</t>
    <phoneticPr fontId="3"/>
  </si>
  <si>
    <t>Time</t>
    <phoneticPr fontId="3"/>
  </si>
  <si>
    <t>Frequency</t>
    <phoneticPr fontId="3"/>
  </si>
  <si>
    <t>Velocity</t>
    <phoneticPr fontId="3"/>
  </si>
  <si>
    <t>Number density</t>
    <phoneticPr fontId="3"/>
  </si>
  <si>
    <t>Flux</t>
    <phoneticPr fontId="3"/>
  </si>
  <si>
    <t>Force</t>
    <phoneticPr fontId="3"/>
  </si>
  <si>
    <t>Power</t>
    <phoneticPr fontId="3"/>
  </si>
  <si>
    <t>Energy</t>
    <phoneticPr fontId="3"/>
  </si>
  <si>
    <t>Energy density</t>
    <phoneticPr fontId="3"/>
  </si>
  <si>
    <t>Permittivity</t>
    <phoneticPr fontId="3"/>
  </si>
  <si>
    <t>Charge</t>
    <phoneticPr fontId="3"/>
  </si>
  <si>
    <t>Charge density</t>
    <phoneticPr fontId="3"/>
  </si>
  <si>
    <t>Charge-to-mass ratio</t>
    <phoneticPr fontId="3"/>
  </si>
  <si>
    <t>Current</t>
    <phoneticPr fontId="3"/>
  </si>
  <si>
    <t>Current density</t>
    <phoneticPr fontId="3"/>
  </si>
  <si>
    <t>Potential</t>
    <phoneticPr fontId="3"/>
  </si>
  <si>
    <t>Electric field</t>
    <phoneticPr fontId="3"/>
  </si>
  <si>
    <t>Capacitance</t>
    <phoneticPr fontId="3"/>
  </si>
  <si>
    <t>Capacitance</t>
    <phoneticPr fontId="3"/>
  </si>
  <si>
    <t>Resistance</t>
    <phoneticPr fontId="3"/>
  </si>
  <si>
    <t>Conductance</t>
    <phoneticPr fontId="3"/>
  </si>
  <si>
    <t>Permiability</t>
    <phoneticPr fontId="3"/>
  </si>
  <si>
    <t>Magnetic flux density</t>
    <phoneticPr fontId="3"/>
  </si>
  <si>
    <t>Inductance</t>
    <phoneticPr fontId="3"/>
  </si>
  <si>
    <t>Temperature</t>
    <phoneticPr fontId="3"/>
  </si>
  <si>
    <t>Time</t>
    <phoneticPr fontId="3"/>
  </si>
  <si>
    <t>Frequency</t>
    <phoneticPr fontId="3"/>
  </si>
  <si>
    <t>Velocity</t>
    <phoneticPr fontId="3"/>
  </si>
  <si>
    <t>Flux</t>
    <phoneticPr fontId="3"/>
  </si>
  <si>
    <t>Power</t>
    <phoneticPr fontId="3"/>
  </si>
  <si>
    <t>Energy</t>
    <phoneticPr fontId="3"/>
  </si>
  <si>
    <t>Energy density</t>
    <phoneticPr fontId="3"/>
  </si>
  <si>
    <t>Permittivity</t>
    <phoneticPr fontId="3"/>
  </si>
  <si>
    <t>Charge density</t>
    <phoneticPr fontId="3"/>
  </si>
  <si>
    <t>Charge-to-mass ratio</t>
    <phoneticPr fontId="3"/>
  </si>
  <si>
    <t>Current</t>
    <phoneticPr fontId="3"/>
  </si>
  <si>
    <t>Conductance</t>
    <phoneticPr fontId="3"/>
  </si>
  <si>
    <t>Permiability</t>
    <phoneticPr fontId="3"/>
  </si>
  <si>
    <t>Magnetic flux density</t>
    <phoneticPr fontId="3"/>
  </si>
  <si>
    <t>Ion-to-electron mass ratio</t>
    <phoneticPr fontId="3"/>
  </si>
  <si>
    <t>qm(1)</t>
    <phoneticPr fontId="3"/>
  </si>
  <si>
    <t>qm(2)</t>
    <phoneticPr fontId="3"/>
  </si>
  <si>
    <t>vdri(1)</t>
    <phoneticPr fontId="3"/>
  </si>
  <si>
    <t>vdri(2)</t>
    <phoneticPr fontId="3"/>
  </si>
  <si>
    <t>Electron temperature (eV)</t>
  </si>
  <si>
    <t>Ion temperature (eV)</t>
  </si>
  <si>
    <t>Electron current density (A/m^2)</t>
  </si>
  <si>
    <t>Ion current density (A/m^2)</t>
  </si>
  <si>
    <t>curf(1)</t>
  </si>
  <si>
    <t>curf(2)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</si>
</sst>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[&lt;=999]000;[&lt;=9999]000\-00;000\-0000"/>
  </numFmts>
  <fonts count="25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Symbol"/>
      <family val="1"/>
      <charset val="2"/>
    </font>
    <font>
      <vertAlign val="subscript"/>
      <sz val="11"/>
      <color indexed="8"/>
      <name val="ＭＳ Ｐゴシック"/>
      <family val="3"/>
      <charset val="128"/>
    </font>
    <font>
      <vertAlign val="superscript"/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9" borderId="11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31" borderId="12" applyNumberFormat="0" applyFon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33" borderId="1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4" borderId="14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4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176" fontId="0" fillId="0" borderId="7" xfId="0" applyNumberFormat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176" fontId="4" fillId="0" borderId="4" xfId="0" applyNumberFormat="1" applyFont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176" fontId="0" fillId="4" borderId="4" xfId="0" applyNumberFormat="1" applyFill="1" applyBorder="1" applyAlignment="1">
      <alignment horizontal="right" vertical="center"/>
    </xf>
    <xf numFmtId="176" fontId="0" fillId="4" borderId="6" xfId="0" applyNumberForma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1" fontId="0" fillId="0" borderId="23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36" borderId="25" xfId="0" applyFill="1" applyBorder="1">
      <alignment vertical="center"/>
    </xf>
    <xf numFmtId="0" fontId="0" fillId="37" borderId="0" xfId="0" applyFill="1">
      <alignment vertical="center"/>
    </xf>
    <xf numFmtId="11" fontId="0" fillId="0" borderId="28" xfId="0" applyNumberFormat="1" applyBorder="1">
      <alignment vertical="center"/>
    </xf>
    <xf numFmtId="0" fontId="0" fillId="0" borderId="30" xfId="0" applyBorder="1">
      <alignment vertical="center"/>
    </xf>
    <xf numFmtId="177" fontId="0" fillId="0" borderId="4" xfId="0" applyNumberForma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176" fontId="0" fillId="0" borderId="2" xfId="0" applyNumberFormat="1" applyBorder="1" applyAlignment="1">
      <alignment horizontal="center" vertical="center" shrinkToFit="1"/>
    </xf>
    <xf numFmtId="176" fontId="0" fillId="0" borderId="23" xfId="0" applyNumberFormat="1" applyBorder="1">
      <alignment vertical="center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/>
    </xf>
    <xf numFmtId="0" fontId="0" fillId="0" borderId="33" xfId="0" applyBorder="1" applyAlignment="1">
      <alignment vertical="top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0"/>
  <sheetViews>
    <sheetView tabSelected="1" zoomScaleNormal="100" workbookViewId="0"/>
  </sheetViews>
  <sheetFormatPr defaultRowHeight="13.25" x14ac:dyDescent="0.45"/>
  <cols>
    <col min="1" max="1" width="16.81640625" customWidth="1"/>
    <col min="2" max="2" width="30.81640625" customWidth="1"/>
    <col min="3" max="3" width="16.81640625" customWidth="1"/>
    <col min="5" max="6" width="13.1796875" bestFit="1" customWidth="1"/>
  </cols>
  <sheetData>
    <row r="2" spans="1:3" x14ac:dyDescent="0.45">
      <c r="A2" s="48" t="s">
        <v>96</v>
      </c>
    </row>
    <row r="3" spans="1:3" x14ac:dyDescent="0.45">
      <c r="A3" s="45"/>
      <c r="B3" s="45" t="s">
        <v>85</v>
      </c>
      <c r="C3" s="39">
        <v>1</v>
      </c>
    </row>
    <row r="4" spans="1:3" x14ac:dyDescent="0.45">
      <c r="A4" s="46"/>
      <c r="B4" s="46"/>
      <c r="C4" s="41"/>
    </row>
    <row r="5" spans="1:3" x14ac:dyDescent="0.45">
      <c r="A5" s="46"/>
      <c r="B5" s="46" t="s">
        <v>86</v>
      </c>
      <c r="C5" s="42">
        <f>C9/Sheet1!E9/parameter!C15*0.000001</f>
        <v>480116.12280592637</v>
      </c>
    </row>
    <row r="6" spans="1:3" x14ac:dyDescent="0.45">
      <c r="A6" s="46"/>
      <c r="B6" s="46"/>
      <c r="C6" s="42"/>
    </row>
    <row r="7" spans="1:3" x14ac:dyDescent="0.45">
      <c r="A7" s="46"/>
      <c r="B7" s="46" t="s">
        <v>173</v>
      </c>
      <c r="C7" s="42">
        <f>0.001*5</f>
        <v>5.0000000000000001E-3</v>
      </c>
    </row>
    <row r="8" spans="1:3" x14ac:dyDescent="0.45">
      <c r="A8" s="46"/>
      <c r="B8" s="46"/>
      <c r="C8" s="42"/>
    </row>
    <row r="9" spans="1:3" x14ac:dyDescent="0.45">
      <c r="A9" s="46"/>
      <c r="B9" s="46" t="s">
        <v>174</v>
      </c>
      <c r="C9" s="42">
        <f>0.001</f>
        <v>1E-3</v>
      </c>
    </row>
    <row r="10" spans="1:3" x14ac:dyDescent="0.45">
      <c r="A10" s="46"/>
      <c r="B10" s="46"/>
      <c r="C10" s="41"/>
    </row>
    <row r="11" spans="1:3" x14ac:dyDescent="0.45">
      <c r="A11" s="46"/>
      <c r="B11" s="46" t="s">
        <v>171</v>
      </c>
      <c r="C11" s="41">
        <v>1.5</v>
      </c>
    </row>
    <row r="12" spans="1:3" x14ac:dyDescent="0.45">
      <c r="A12" s="46"/>
      <c r="B12" s="46"/>
      <c r="C12" s="41"/>
    </row>
    <row r="13" spans="1:3" x14ac:dyDescent="0.45">
      <c r="A13" s="46"/>
      <c r="B13" s="46" t="s">
        <v>172</v>
      </c>
      <c r="C13" s="41">
        <v>0.107</v>
      </c>
    </row>
    <row r="14" spans="1:3" x14ac:dyDescent="0.45">
      <c r="A14" s="46"/>
      <c r="B14" s="46"/>
      <c r="C14" s="41"/>
    </row>
    <row r="15" spans="1:3" x14ac:dyDescent="0.45">
      <c r="A15" s="46"/>
      <c r="B15" s="46" t="s">
        <v>102</v>
      </c>
      <c r="C15" s="41">
        <v>13000</v>
      </c>
    </row>
    <row r="16" spans="1:3" x14ac:dyDescent="0.45">
      <c r="A16" s="46"/>
      <c r="B16" s="46"/>
      <c r="C16" s="41"/>
    </row>
    <row r="17" spans="1:3" x14ac:dyDescent="0.45">
      <c r="A17" s="46"/>
      <c r="B17" s="46" t="s">
        <v>98</v>
      </c>
      <c r="C17" s="46">
        <v>0</v>
      </c>
    </row>
    <row r="18" spans="1:3" x14ac:dyDescent="0.45">
      <c r="A18" s="46"/>
      <c r="B18" s="46"/>
      <c r="C18" s="46"/>
    </row>
    <row r="19" spans="1:3" x14ac:dyDescent="0.45">
      <c r="A19" s="46"/>
      <c r="B19" s="46" t="s">
        <v>166</v>
      </c>
      <c r="C19" s="46">
        <f>1836*131.3</f>
        <v>241066.80000000002</v>
      </c>
    </row>
    <row r="20" spans="1:3" x14ac:dyDescent="0.45">
      <c r="A20" s="51"/>
      <c r="B20" s="51"/>
      <c r="C20" s="51"/>
    </row>
    <row r="21" spans="1:3" x14ac:dyDescent="0.45">
      <c r="A21" s="46"/>
      <c r="B21" s="46" t="s">
        <v>99</v>
      </c>
      <c r="C21" s="50">
        <f>SQRT(Sheet1!E9*parameter!C11*Sheet1!E7/(parameter!C5*1000000)/Sheet1!E9/Sheet1!E9)*100</f>
        <v>1.3139888219503746</v>
      </c>
    </row>
    <row r="22" spans="1:3" x14ac:dyDescent="0.45">
      <c r="A22" s="46"/>
      <c r="B22" s="46"/>
      <c r="C22" s="46"/>
    </row>
    <row r="23" spans="1:3" x14ac:dyDescent="0.45">
      <c r="A23" s="46"/>
      <c r="B23" s="46" t="s">
        <v>100</v>
      </c>
      <c r="C23" s="46" t="e">
        <f>SQRT(Sheet1!E10*Sheet1!E13*parameter!C11)/Sheet1!E9/(parameter!C17*0.000001)*100</f>
        <v>#DIV/0!</v>
      </c>
    </row>
    <row r="24" spans="1:3" x14ac:dyDescent="0.45">
      <c r="A24" s="46"/>
      <c r="B24" s="46"/>
      <c r="C24" s="46"/>
    </row>
    <row r="25" spans="1:3" x14ac:dyDescent="0.45">
      <c r="A25" s="46"/>
      <c r="B25" s="46" t="s">
        <v>101</v>
      </c>
      <c r="C25" s="46" t="e">
        <f>SQRT(Sheet1!E16*Sheet1!E13*C13)/Sheet1!E9/(parameter!C17*0.000001)*100</f>
        <v>#DIV/0!</v>
      </c>
    </row>
    <row r="26" spans="1:3" x14ac:dyDescent="0.45">
      <c r="A26" s="46"/>
      <c r="B26" s="46"/>
      <c r="C26" s="46"/>
    </row>
    <row r="27" spans="1:3" x14ac:dyDescent="0.45">
      <c r="A27" s="46"/>
      <c r="B27" s="46" t="s">
        <v>103</v>
      </c>
      <c r="C27" s="46">
        <f>SQRT(Sheet1!E13*parameter!C11/Sheet1!E16)</f>
        <v>9.7112325389837775</v>
      </c>
    </row>
    <row r="28" spans="1:3" x14ac:dyDescent="0.45">
      <c r="A28" s="46"/>
      <c r="B28" s="46" t="s">
        <v>104</v>
      </c>
      <c r="C28" s="46">
        <f>C15/C27</f>
        <v>1338.6560303045089</v>
      </c>
    </row>
    <row r="29" spans="1:3" x14ac:dyDescent="0.45">
      <c r="A29" s="46"/>
      <c r="B29" s="46"/>
      <c r="C29" s="46"/>
    </row>
    <row r="30" spans="1:3" x14ac:dyDescent="0.45">
      <c r="A30" s="46"/>
      <c r="B30" s="46" t="s">
        <v>105</v>
      </c>
      <c r="C30" s="46">
        <f>SQRT((Sheet1!E13*parameter!C11+(5/3)*Sheet1!E13*parameter!C13)/Sheet1!E16)</f>
        <v>10.272303305934459</v>
      </c>
    </row>
    <row r="31" spans="1:3" x14ac:dyDescent="0.45">
      <c r="A31" s="47"/>
      <c r="B31" s="47" t="s">
        <v>106</v>
      </c>
      <c r="C31" s="47">
        <f>C15/C30</f>
        <v>1265.5389558532322</v>
      </c>
    </row>
    <row r="33" spans="1:6" x14ac:dyDescent="0.45">
      <c r="A33" s="49" t="s">
        <v>97</v>
      </c>
    </row>
    <row r="34" spans="1:6" x14ac:dyDescent="0.45">
      <c r="A34" s="38" t="s">
        <v>90</v>
      </c>
      <c r="B34" s="45" t="s">
        <v>87</v>
      </c>
      <c r="C34" s="39">
        <f>Sheet1!N2</f>
        <v>13.038990824750666</v>
      </c>
    </row>
    <row r="35" spans="1:6" x14ac:dyDescent="0.45">
      <c r="A35" s="40"/>
      <c r="B35" s="46" t="s">
        <v>88</v>
      </c>
      <c r="C35" s="41">
        <f>Sheet1!N6</f>
        <v>2.6556771586344133E-2</v>
      </c>
    </row>
    <row r="36" spans="1:6" x14ac:dyDescent="0.45">
      <c r="A36" s="40"/>
      <c r="B36" s="46" t="s">
        <v>89</v>
      </c>
      <c r="C36" s="41">
        <f>-Sheet1!N28</f>
        <v>0</v>
      </c>
    </row>
    <row r="37" spans="1:6" x14ac:dyDescent="0.45">
      <c r="A37" s="40"/>
      <c r="B37" s="46"/>
      <c r="C37" s="41"/>
    </row>
    <row r="38" spans="1:6" x14ac:dyDescent="0.45">
      <c r="A38" s="40" t="s">
        <v>91</v>
      </c>
      <c r="B38" s="46" t="s">
        <v>167</v>
      </c>
      <c r="C38" s="41">
        <f>-1</f>
        <v>-1</v>
      </c>
    </row>
    <row r="39" spans="1:6" x14ac:dyDescent="0.45">
      <c r="A39" s="40"/>
      <c r="B39" s="46" t="s">
        <v>168</v>
      </c>
      <c r="C39" s="55">
        <f>-C38/C19</f>
        <v>4.148227794121795E-6</v>
      </c>
    </row>
    <row r="40" spans="1:6" x14ac:dyDescent="0.45">
      <c r="A40" s="40"/>
      <c r="B40" s="46" t="s">
        <v>92</v>
      </c>
      <c r="C40" s="41">
        <f>Sheet1!N10</f>
        <v>17.133088193235871</v>
      </c>
    </row>
    <row r="41" spans="1:6" x14ac:dyDescent="0.45">
      <c r="A41" s="40"/>
      <c r="B41" s="46" t="s">
        <v>93</v>
      </c>
      <c r="C41" s="41">
        <f>C40</f>
        <v>17.133088193235871</v>
      </c>
    </row>
    <row r="42" spans="1:6" x14ac:dyDescent="0.45">
      <c r="A42" s="40"/>
      <c r="B42" s="46" t="s">
        <v>169</v>
      </c>
      <c r="C42" s="41">
        <f>Sheet1!N19</f>
        <v>0.43363332375759767</v>
      </c>
    </row>
    <row r="43" spans="1:6" x14ac:dyDescent="0.45">
      <c r="A43" s="40"/>
      <c r="B43" s="46" t="s">
        <v>94</v>
      </c>
      <c r="C43" s="41">
        <f>Sheet1!N13</f>
        <v>9.3199419704002254E-3</v>
      </c>
    </row>
    <row r="44" spans="1:6" x14ac:dyDescent="0.45">
      <c r="A44" s="40"/>
      <c r="B44" s="46" t="s">
        <v>95</v>
      </c>
      <c r="C44" s="41">
        <f>C43</f>
        <v>9.3199419704002254E-3</v>
      </c>
    </row>
    <row r="45" spans="1:6" x14ac:dyDescent="0.45">
      <c r="A45" s="40"/>
      <c r="B45" s="46" t="s">
        <v>170</v>
      </c>
      <c r="C45" s="41">
        <f>Sheet1!N19</f>
        <v>0.43363332375759767</v>
      </c>
    </row>
    <row r="46" spans="1:6" x14ac:dyDescent="0.45">
      <c r="A46" s="40"/>
      <c r="B46" s="46"/>
      <c r="C46" s="41"/>
    </row>
    <row r="47" spans="1:6" x14ac:dyDescent="0.45">
      <c r="A47" s="40"/>
      <c r="B47" s="46" t="s">
        <v>175</v>
      </c>
      <c r="C47" s="55">
        <f>C7*Sheet1!G34</f>
        <v>368.62145852633762</v>
      </c>
      <c r="E47" s="36"/>
      <c r="F47" s="36"/>
    </row>
    <row r="48" spans="1:6" x14ac:dyDescent="0.45">
      <c r="A48" s="40"/>
      <c r="B48" s="46" t="s">
        <v>176</v>
      </c>
      <c r="C48" s="55">
        <f>C9*Sheet1!G34</f>
        <v>73.724291705267518</v>
      </c>
      <c r="E48" s="36"/>
      <c r="F48" s="36"/>
    </row>
    <row r="49" spans="1:5" x14ac:dyDescent="0.45">
      <c r="A49" s="43"/>
      <c r="B49" s="47"/>
      <c r="C49" s="44"/>
    </row>
    <row r="50" spans="1:5" x14ac:dyDescent="0.45">
      <c r="E50" s="36"/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workbookViewId="0">
      <selection activeCell="M14" sqref="M14"/>
    </sheetView>
  </sheetViews>
  <sheetFormatPr defaultRowHeight="16" customHeight="1" x14ac:dyDescent="0.45"/>
  <cols>
    <col min="1" max="1" width="10.6328125" customWidth="1"/>
    <col min="2" max="2" width="20.81640625" customWidth="1"/>
    <col min="3" max="4" width="6.6328125" style="24" customWidth="1"/>
    <col min="5" max="7" width="16.6328125" style="9" customWidth="1"/>
    <col min="8" max="8" width="20.6328125" style="24" customWidth="1"/>
    <col min="9" max="9" width="9" style="26"/>
    <col min="10" max="10" width="6.6328125" customWidth="1"/>
    <col min="12" max="15" width="17.1796875" customWidth="1"/>
    <col min="16" max="20" width="9" customWidth="1"/>
    <col min="22" max="25" width="9" customWidth="1"/>
  </cols>
  <sheetData>
    <row r="1" spans="1:24" ht="16" customHeight="1" x14ac:dyDescent="0.45">
      <c r="A1" s="1"/>
      <c r="B1" s="2"/>
      <c r="C1" s="21"/>
      <c r="D1" s="21"/>
      <c r="E1" s="10" t="s">
        <v>121</v>
      </c>
      <c r="F1" s="10" t="s">
        <v>122</v>
      </c>
      <c r="G1" s="54" t="s">
        <v>123</v>
      </c>
      <c r="H1" s="21"/>
      <c r="I1" s="29"/>
      <c r="J1" s="30"/>
    </row>
    <row r="2" spans="1:24" ht="16" customHeight="1" x14ac:dyDescent="0.45">
      <c r="A2" s="3"/>
      <c r="B2" s="4"/>
      <c r="C2" s="22"/>
      <c r="D2" s="22"/>
      <c r="E2" s="7"/>
      <c r="F2" s="7"/>
      <c r="G2" s="7"/>
      <c r="H2" s="22"/>
      <c r="I2" s="31"/>
      <c r="J2" s="32"/>
      <c r="K2" t="s">
        <v>78</v>
      </c>
      <c r="L2" s="37">
        <f>parameter!C5*1000000</f>
        <v>480116122805.92639</v>
      </c>
      <c r="M2">
        <f>SQRT(L2*E9*E9/E10/E7)</f>
        <v>39089911.091914497</v>
      </c>
      <c r="N2" s="36">
        <f>M2*G21</f>
        <v>13.038990824750666</v>
      </c>
    </row>
    <row r="3" spans="1:24" ht="16" customHeight="1" x14ac:dyDescent="0.45">
      <c r="A3" s="56" t="s">
        <v>107</v>
      </c>
      <c r="B3" s="4" t="s">
        <v>108</v>
      </c>
      <c r="C3" s="28" t="s">
        <v>0</v>
      </c>
      <c r="D3" s="22" t="s">
        <v>1</v>
      </c>
      <c r="E3" s="7">
        <v>3.1415926540000001</v>
      </c>
      <c r="F3" s="7">
        <f>E3</f>
        <v>3.1415926540000001</v>
      </c>
      <c r="G3" s="7"/>
      <c r="H3" s="22"/>
      <c r="I3" s="31"/>
      <c r="J3" s="33" t="s">
        <v>0</v>
      </c>
      <c r="L3" s="37"/>
      <c r="M3">
        <f>SQRT(L3*E9*E9/E10/E7)</f>
        <v>0</v>
      </c>
      <c r="N3" s="36">
        <f>M3*G21</f>
        <v>0</v>
      </c>
    </row>
    <row r="4" spans="1:24" ht="16" customHeight="1" x14ac:dyDescent="0.45">
      <c r="A4" s="57"/>
      <c r="B4" s="4" t="s">
        <v>109</v>
      </c>
      <c r="C4" s="22" t="s">
        <v>2</v>
      </c>
      <c r="D4" s="22" t="s">
        <v>1</v>
      </c>
      <c r="E4" s="7">
        <v>2.7182818279999998</v>
      </c>
      <c r="F4" s="7">
        <f>E4</f>
        <v>2.7182818279999998</v>
      </c>
      <c r="G4" s="7"/>
      <c r="H4" s="22"/>
      <c r="I4" s="31"/>
      <c r="J4" s="32" t="s">
        <v>2</v>
      </c>
      <c r="L4" s="37"/>
      <c r="M4">
        <f>SQRT(L4*E9*E9/E10/E7)</f>
        <v>0</v>
      </c>
      <c r="N4" s="36">
        <f>M4*G21</f>
        <v>0</v>
      </c>
      <c r="X4" s="36"/>
    </row>
    <row r="5" spans="1:24" ht="16" customHeight="1" x14ac:dyDescent="0.45">
      <c r="A5" s="3"/>
      <c r="B5" s="4"/>
      <c r="C5" s="22"/>
      <c r="D5" s="22"/>
      <c r="E5" s="7"/>
      <c r="F5" s="7"/>
      <c r="G5" s="7"/>
      <c r="H5" s="22"/>
      <c r="I5" s="31"/>
      <c r="J5" s="32"/>
    </row>
    <row r="6" spans="1:24" ht="16" customHeight="1" x14ac:dyDescent="0.45">
      <c r="A6" s="56" t="s">
        <v>110</v>
      </c>
      <c r="B6" s="4" t="s">
        <v>111</v>
      </c>
      <c r="C6" s="22" t="s">
        <v>3</v>
      </c>
      <c r="D6" s="22"/>
      <c r="E6" s="7">
        <v>299792458</v>
      </c>
      <c r="F6" s="13">
        <v>10000</v>
      </c>
      <c r="G6" s="7"/>
      <c r="H6" s="22"/>
      <c r="I6" s="31"/>
      <c r="J6" s="32" t="s">
        <v>3</v>
      </c>
      <c r="K6" t="s">
        <v>79</v>
      </c>
      <c r="L6" s="37">
        <f>parameter!C5*1000000</f>
        <v>480116122805.92639</v>
      </c>
      <c r="M6">
        <f>SQRT(L6*E9*E9/E16/E7)</f>
        <v>79615.198304146674</v>
      </c>
      <c r="N6" s="36">
        <f>M6*G21</f>
        <v>2.6556771586344133E-2</v>
      </c>
    </row>
    <row r="7" spans="1:24" ht="16" customHeight="1" x14ac:dyDescent="0.45">
      <c r="A7" s="58"/>
      <c r="B7" s="4" t="s">
        <v>112</v>
      </c>
      <c r="C7" s="28" t="s">
        <v>42</v>
      </c>
      <c r="D7" s="22"/>
      <c r="E7" s="7">
        <f>1/E8/E6/E6</f>
        <v>8.8541878164642734E-12</v>
      </c>
      <c r="F7" s="13">
        <v>1</v>
      </c>
      <c r="G7" s="7"/>
      <c r="H7" s="22"/>
      <c r="I7" s="31"/>
      <c r="J7" s="33" t="s">
        <v>42</v>
      </c>
      <c r="L7" s="37"/>
      <c r="M7">
        <f>SQRT(L7*E9*E9/E16/E7)</f>
        <v>0</v>
      </c>
      <c r="N7" s="36">
        <f>M7*G21</f>
        <v>0</v>
      </c>
      <c r="S7" s="36"/>
      <c r="X7" s="36"/>
    </row>
    <row r="8" spans="1:24" ht="16" customHeight="1" x14ac:dyDescent="0.45">
      <c r="A8" s="58"/>
      <c r="B8" s="4" t="s">
        <v>113</v>
      </c>
      <c r="C8" s="22" t="s">
        <v>43</v>
      </c>
      <c r="D8" s="22"/>
      <c r="E8" s="7">
        <f>4*E3*0.0000001</f>
        <v>1.2566370616000001E-6</v>
      </c>
      <c r="F8" s="7">
        <f>E8*G40</f>
        <v>1E-8</v>
      </c>
      <c r="G8" s="7"/>
      <c r="H8" s="22"/>
      <c r="I8" s="31"/>
      <c r="J8" s="32" t="s">
        <v>43</v>
      </c>
      <c r="L8" s="37"/>
      <c r="M8">
        <f>SQRT(L8*E9*E9/E16/E7)</f>
        <v>0</v>
      </c>
      <c r="N8" s="36">
        <f>M8*G21</f>
        <v>0</v>
      </c>
      <c r="S8" s="36"/>
      <c r="X8" s="36"/>
    </row>
    <row r="9" spans="1:24" ht="16" customHeight="1" x14ac:dyDescent="0.45">
      <c r="A9" s="58"/>
      <c r="B9" s="4" t="s">
        <v>114</v>
      </c>
      <c r="C9" s="22" t="s">
        <v>44</v>
      </c>
      <c r="D9" s="22"/>
      <c r="E9" s="7">
        <v>1.6021765E-19</v>
      </c>
      <c r="F9" s="7">
        <f>E9*G30</f>
        <v>3.5411283573298375E-4</v>
      </c>
      <c r="G9" s="7"/>
      <c r="H9" s="22"/>
      <c r="I9" s="31"/>
      <c r="J9" s="32" t="s">
        <v>44</v>
      </c>
      <c r="N9" s="36"/>
      <c r="S9" s="36"/>
      <c r="X9" s="36"/>
    </row>
    <row r="10" spans="1:24" ht="16" customHeight="1" x14ac:dyDescent="0.45">
      <c r="A10" s="58"/>
      <c r="B10" s="4" t="s">
        <v>115</v>
      </c>
      <c r="C10" s="22" t="s">
        <v>45</v>
      </c>
      <c r="D10" s="22"/>
      <c r="E10" s="7">
        <v>9.1093818999999997E-31</v>
      </c>
      <c r="F10" s="7">
        <f>E10*G19</f>
        <v>3.5411283573298375E-4</v>
      </c>
      <c r="G10" s="7"/>
      <c r="H10" s="22"/>
      <c r="I10" s="31"/>
      <c r="J10" s="32" t="s">
        <v>80</v>
      </c>
      <c r="K10" t="s">
        <v>81</v>
      </c>
      <c r="L10" s="37">
        <f>parameter!C11</f>
        <v>1.5</v>
      </c>
      <c r="M10">
        <f>SQRT(E9*L10/E10)</f>
        <v>513637.06225809606</v>
      </c>
      <c r="N10" s="36">
        <f>M10*G22</f>
        <v>17.133088193235871</v>
      </c>
      <c r="O10" s="36"/>
      <c r="V10" s="36"/>
    </row>
    <row r="11" spans="1:24" ht="16" customHeight="1" x14ac:dyDescent="0.45">
      <c r="A11" s="58"/>
      <c r="B11" s="4" t="s">
        <v>116</v>
      </c>
      <c r="C11" s="22" t="s">
        <v>46</v>
      </c>
      <c r="D11" s="22"/>
      <c r="E11" s="7">
        <v>1.6726099999999999E-27</v>
      </c>
      <c r="F11" s="7">
        <f>E11*G19</f>
        <v>0.65020072347098101</v>
      </c>
      <c r="G11" s="7"/>
      <c r="H11" s="22"/>
      <c r="I11" s="31"/>
      <c r="J11" s="32" t="s">
        <v>46</v>
      </c>
      <c r="L11" s="37"/>
      <c r="M11">
        <f>SQRT(E13*L11/E10)</f>
        <v>0</v>
      </c>
      <c r="N11" s="36">
        <f>M11*G22</f>
        <v>0</v>
      </c>
      <c r="S11" s="36"/>
      <c r="X11" s="36"/>
    </row>
    <row r="12" spans="1:24" ht="16" customHeight="1" x14ac:dyDescent="0.45">
      <c r="A12" s="58"/>
      <c r="B12" s="52" t="s">
        <v>117</v>
      </c>
      <c r="C12" s="22" t="s">
        <v>47</v>
      </c>
      <c r="D12" s="22"/>
      <c r="E12" s="7">
        <f>-E9/E10</f>
        <v>-175882021150.08484</v>
      </c>
      <c r="F12" s="13">
        <v>-1</v>
      </c>
      <c r="G12" s="7"/>
      <c r="H12" s="22"/>
      <c r="I12" s="31"/>
      <c r="J12" s="32" t="s">
        <v>47</v>
      </c>
      <c r="N12" s="36"/>
      <c r="S12" s="36"/>
      <c r="X12" s="36"/>
    </row>
    <row r="13" spans="1:24" ht="16" customHeight="1" x14ac:dyDescent="0.45">
      <c r="A13" s="57"/>
      <c r="B13" s="4" t="s">
        <v>118</v>
      </c>
      <c r="C13" s="22" t="s">
        <v>48</v>
      </c>
      <c r="D13" s="22"/>
      <c r="E13" s="7">
        <v>1.38065052E-23</v>
      </c>
      <c r="F13" s="7">
        <f>E13*G13</f>
        <v>1.38065052E-23</v>
      </c>
      <c r="G13" s="7">
        <v>1</v>
      </c>
      <c r="H13" s="22"/>
      <c r="I13" s="31"/>
      <c r="J13" s="32" t="s">
        <v>48</v>
      </c>
      <c r="K13" t="s">
        <v>84</v>
      </c>
      <c r="L13" s="37">
        <f>parameter!C13</f>
        <v>0.107</v>
      </c>
      <c r="M13">
        <f>SQRT(E9*L13/E16)</f>
        <v>279.40483117236471</v>
      </c>
      <c r="N13" s="36">
        <f>M13*G22</f>
        <v>9.3199419704002254E-3</v>
      </c>
      <c r="S13" s="36"/>
      <c r="X13" s="36"/>
    </row>
    <row r="14" spans="1:24" ht="16" customHeight="1" x14ac:dyDescent="0.45">
      <c r="A14" s="3"/>
      <c r="B14" s="4"/>
      <c r="C14" s="22"/>
      <c r="D14" s="22"/>
      <c r="E14" s="7"/>
      <c r="F14" s="7"/>
      <c r="G14" s="7"/>
      <c r="H14" s="22"/>
      <c r="I14" s="31"/>
      <c r="J14" s="32"/>
      <c r="L14" s="37"/>
      <c r="M14">
        <f>SQRT(E13*L14/E16)</f>
        <v>0</v>
      </c>
      <c r="N14" s="36">
        <f>M14*G22</f>
        <v>0</v>
      </c>
      <c r="S14" s="36"/>
      <c r="X14" s="36"/>
    </row>
    <row r="15" spans="1:24" ht="16" customHeight="1" thickBot="1" x14ac:dyDescent="0.6">
      <c r="A15" s="5" t="s">
        <v>119</v>
      </c>
      <c r="B15" s="53" t="s">
        <v>120</v>
      </c>
      <c r="C15" s="23" t="s">
        <v>4</v>
      </c>
      <c r="D15" s="23" t="s">
        <v>5</v>
      </c>
      <c r="E15" s="8">
        <f>F15/G15</f>
        <v>0.01</v>
      </c>
      <c r="F15" s="14">
        <v>1</v>
      </c>
      <c r="G15" s="15">
        <f>1/parameter!C3*100</f>
        <v>100</v>
      </c>
      <c r="H15" s="23"/>
      <c r="I15" s="34"/>
      <c r="J15" s="35" t="s">
        <v>4</v>
      </c>
      <c r="N15" s="36"/>
      <c r="S15" s="36"/>
      <c r="X15" s="36"/>
    </row>
    <row r="16" spans="1:24" ht="16" customHeight="1" x14ac:dyDescent="0.45">
      <c r="E16" s="9">
        <f>E10*parameter!C19</f>
        <v>2.19596954461092E-25</v>
      </c>
      <c r="L16" s="37"/>
      <c r="N16" s="36"/>
      <c r="S16" s="36"/>
      <c r="X16" s="36"/>
    </row>
    <row r="17" spans="1:24" ht="16" customHeight="1" thickBot="1" x14ac:dyDescent="0.6">
      <c r="E17" s="9">
        <f>15.9994*E11</f>
        <v>2.6760756433999998E-26</v>
      </c>
      <c r="L17" s="37"/>
      <c r="N17" s="36"/>
    </row>
    <row r="18" spans="1:24" ht="16" customHeight="1" x14ac:dyDescent="0.45">
      <c r="A18" s="1"/>
      <c r="B18" s="2"/>
      <c r="C18" s="21"/>
      <c r="D18" s="21"/>
      <c r="E18" s="10" t="s">
        <v>124</v>
      </c>
      <c r="F18" s="10" t="s">
        <v>122</v>
      </c>
      <c r="G18" s="54" t="s">
        <v>125</v>
      </c>
      <c r="H18" s="21"/>
      <c r="I18" s="29"/>
      <c r="J18" s="30"/>
      <c r="L18" s="36"/>
      <c r="N18" s="36"/>
      <c r="Q18" s="36"/>
      <c r="S18" s="36"/>
      <c r="V18" s="36"/>
      <c r="X18" s="36"/>
    </row>
    <row r="19" spans="1:24" ht="16" customHeight="1" x14ac:dyDescent="0.45">
      <c r="A19" s="3" t="s">
        <v>6</v>
      </c>
      <c r="B19" s="4" t="s">
        <v>126</v>
      </c>
      <c r="C19" s="22" t="s">
        <v>5</v>
      </c>
      <c r="D19" s="22" t="s">
        <v>7</v>
      </c>
      <c r="E19" s="17"/>
      <c r="F19" s="19">
        <f>E19*G19</f>
        <v>0</v>
      </c>
      <c r="G19" s="7">
        <f>G29/G32/G32*G15*G22*G22</f>
        <v>3.8873420789722712E+26</v>
      </c>
      <c r="H19" s="28" t="s">
        <v>63</v>
      </c>
      <c r="I19" s="31"/>
      <c r="J19" s="32" t="s">
        <v>5</v>
      </c>
      <c r="K19" t="s">
        <v>82</v>
      </c>
      <c r="L19" s="36"/>
      <c r="M19">
        <f>parameter!C15</f>
        <v>13000</v>
      </c>
      <c r="N19" s="36">
        <f>M19*G22</f>
        <v>0.43363332375759767</v>
      </c>
      <c r="Q19" s="36"/>
      <c r="S19" s="36"/>
      <c r="V19" s="36"/>
      <c r="X19" s="36"/>
    </row>
    <row r="20" spans="1:24" ht="16" customHeight="1" x14ac:dyDescent="0.45">
      <c r="A20" s="3"/>
      <c r="B20" s="4" t="s">
        <v>127</v>
      </c>
      <c r="C20" s="22" t="s">
        <v>8</v>
      </c>
      <c r="D20" s="22" t="s">
        <v>9</v>
      </c>
      <c r="E20" s="17"/>
      <c r="F20" s="19">
        <f>E20*G20</f>
        <v>0</v>
      </c>
      <c r="G20" s="7">
        <f>G15/G22</f>
        <v>2997924.58</v>
      </c>
      <c r="H20" s="22" t="s">
        <v>10</v>
      </c>
      <c r="I20" s="31"/>
      <c r="J20" s="32" t="s">
        <v>8</v>
      </c>
      <c r="L20" s="36"/>
      <c r="N20" s="36">
        <f>M20*G22</f>
        <v>0</v>
      </c>
      <c r="Q20" s="36"/>
      <c r="S20" s="36"/>
      <c r="V20" s="36"/>
      <c r="X20" s="36"/>
    </row>
    <row r="21" spans="1:24" ht="16" customHeight="1" x14ac:dyDescent="0.45">
      <c r="A21" s="3"/>
      <c r="B21" s="4" t="s">
        <v>128</v>
      </c>
      <c r="C21" s="22" t="s">
        <v>11</v>
      </c>
      <c r="D21" s="22" t="s">
        <v>12</v>
      </c>
      <c r="E21" s="17"/>
      <c r="F21" s="19">
        <f>E21*G21</f>
        <v>0</v>
      </c>
      <c r="G21" s="7">
        <f>1/G20</f>
        <v>3.3356409519815204E-7</v>
      </c>
      <c r="H21" s="22" t="s">
        <v>13</v>
      </c>
      <c r="I21" s="31"/>
      <c r="J21" s="32" t="s">
        <v>11</v>
      </c>
      <c r="N21" s="36">
        <f>M21*G22</f>
        <v>0</v>
      </c>
    </row>
    <row r="22" spans="1:24" ht="16" customHeight="1" x14ac:dyDescent="0.45">
      <c r="A22" s="3"/>
      <c r="B22" s="4" t="s">
        <v>129</v>
      </c>
      <c r="C22" s="22" t="s">
        <v>14</v>
      </c>
      <c r="D22" s="22" t="s">
        <v>53</v>
      </c>
      <c r="E22" s="17"/>
      <c r="F22" s="19">
        <f>E22*G22</f>
        <v>0</v>
      </c>
      <c r="G22" s="16">
        <f>F6/E6</f>
        <v>3.3356409519815205E-5</v>
      </c>
      <c r="H22" s="22" t="s">
        <v>14</v>
      </c>
      <c r="I22" s="31"/>
      <c r="J22" s="32" t="s">
        <v>14</v>
      </c>
      <c r="N22" s="36"/>
      <c r="S22" s="36"/>
      <c r="X22" s="36"/>
    </row>
    <row r="23" spans="1:24" ht="16" customHeight="1" x14ac:dyDescent="0.45">
      <c r="A23" s="3"/>
      <c r="B23" s="4" t="s">
        <v>130</v>
      </c>
      <c r="C23" s="22" t="s">
        <v>15</v>
      </c>
      <c r="D23" s="22" t="s">
        <v>54</v>
      </c>
      <c r="E23" s="17"/>
      <c r="F23" s="19">
        <f>E23*G23</f>
        <v>0</v>
      </c>
      <c r="G23" s="7">
        <f>1/G15/G15/G15</f>
        <v>9.9999999999999995E-7</v>
      </c>
      <c r="H23" s="22" t="s">
        <v>16</v>
      </c>
      <c r="I23" s="31"/>
      <c r="J23" s="32" t="s">
        <v>15</v>
      </c>
      <c r="N23" s="36"/>
    </row>
    <row r="24" spans="1:24" ht="16" customHeight="1" x14ac:dyDescent="0.45">
      <c r="A24" s="3"/>
      <c r="B24" s="4" t="s">
        <v>131</v>
      </c>
      <c r="C24" s="22" t="s">
        <v>17</v>
      </c>
      <c r="D24" s="22" t="s">
        <v>55</v>
      </c>
      <c r="E24" s="17"/>
      <c r="F24" s="19">
        <f t="shared" ref="F24:F43" si="0">E24*G24</f>
        <v>0</v>
      </c>
      <c r="G24" s="7">
        <f>G22*G23</f>
        <v>3.3356409519815202E-11</v>
      </c>
      <c r="H24" s="22" t="s">
        <v>18</v>
      </c>
      <c r="I24" s="31"/>
      <c r="J24" s="32" t="s">
        <v>17</v>
      </c>
      <c r="L24" s="37"/>
      <c r="N24" s="36"/>
      <c r="Q24" s="37"/>
      <c r="S24" s="36"/>
      <c r="V24" s="37"/>
      <c r="X24" s="36"/>
    </row>
    <row r="25" spans="1:24" ht="16" customHeight="1" x14ac:dyDescent="0.45">
      <c r="A25" s="3"/>
      <c r="B25" s="4" t="s">
        <v>132</v>
      </c>
      <c r="C25" s="22" t="s">
        <v>19</v>
      </c>
      <c r="D25" s="22" t="s">
        <v>17</v>
      </c>
      <c r="E25" s="17"/>
      <c r="F25" s="19">
        <f t="shared" si="0"/>
        <v>0</v>
      </c>
      <c r="G25" s="7">
        <f>G22*G22*G22*G22*G29/G32/G32</f>
        <v>4325251382068087.5</v>
      </c>
      <c r="H25" s="28" t="s">
        <v>64</v>
      </c>
      <c r="I25" s="31"/>
      <c r="J25" s="32" t="s">
        <v>19</v>
      </c>
      <c r="L25" s="37"/>
      <c r="M25" s="36"/>
      <c r="N25" s="36"/>
      <c r="Q25" s="37"/>
      <c r="R25" s="36"/>
      <c r="S25" s="36"/>
      <c r="V25" s="37"/>
      <c r="W25" s="36"/>
      <c r="X25" s="36"/>
    </row>
    <row r="26" spans="1:24" ht="16" customHeight="1" x14ac:dyDescent="0.45">
      <c r="A26" s="3"/>
      <c r="B26" s="4" t="s">
        <v>133</v>
      </c>
      <c r="C26" s="22" t="s">
        <v>20</v>
      </c>
      <c r="D26" s="22" t="s">
        <v>21</v>
      </c>
      <c r="E26" s="17"/>
      <c r="F26" s="19">
        <f t="shared" si="0"/>
        <v>0</v>
      </c>
      <c r="G26" s="7">
        <f>G29/G32/G32*G22*G22*G22*G22*G22</f>
        <v>144274856376.40982</v>
      </c>
      <c r="H26" s="28" t="s">
        <v>65</v>
      </c>
      <c r="I26" s="31"/>
      <c r="J26" s="32" t="s">
        <v>20</v>
      </c>
    </row>
    <row r="27" spans="1:24" ht="16" customHeight="1" x14ac:dyDescent="0.45">
      <c r="A27" s="3"/>
      <c r="B27" s="4" t="s">
        <v>134</v>
      </c>
      <c r="C27" s="22" t="s">
        <v>21</v>
      </c>
      <c r="D27" s="22" t="s">
        <v>22</v>
      </c>
      <c r="E27" s="17"/>
      <c r="F27" s="19">
        <f t="shared" si="0"/>
        <v>0</v>
      </c>
      <c r="G27" s="7">
        <f>G29/G32/G32*G15*G22*G22*G22*G22</f>
        <v>4.3252513820680877E+17</v>
      </c>
      <c r="H27" s="28" t="s">
        <v>66</v>
      </c>
      <c r="I27" s="31"/>
      <c r="J27" s="32" t="s">
        <v>21</v>
      </c>
    </row>
    <row r="28" spans="1:24" ht="16" customHeight="1" x14ac:dyDescent="0.45">
      <c r="A28" s="3"/>
      <c r="B28" s="4" t="s">
        <v>135</v>
      </c>
      <c r="C28" s="22" t="s">
        <v>23</v>
      </c>
      <c r="D28" s="22" t="s">
        <v>56</v>
      </c>
      <c r="E28" s="17"/>
      <c r="F28" s="19">
        <f t="shared" si="0"/>
        <v>0</v>
      </c>
      <c r="G28" s="7">
        <f>G29/G32/G32*G22*G22*G22*G22/G15/G15</f>
        <v>432525138206.80865</v>
      </c>
      <c r="H28" s="22" t="s">
        <v>24</v>
      </c>
      <c r="I28" s="31"/>
      <c r="J28" s="32" t="s">
        <v>23</v>
      </c>
      <c r="K28" t="s">
        <v>83</v>
      </c>
      <c r="L28" s="37">
        <f>parameter!C17*0.000001</f>
        <v>0</v>
      </c>
      <c r="M28" s="36">
        <f>E9*L28/E10</f>
        <v>0</v>
      </c>
      <c r="N28" s="36">
        <f>M28*G21</f>
        <v>0</v>
      </c>
      <c r="O28" s="36"/>
      <c r="S28" s="36"/>
      <c r="X28" s="36"/>
    </row>
    <row r="29" spans="1:24" ht="16" customHeight="1" x14ac:dyDescent="0.45">
      <c r="A29" s="3"/>
      <c r="B29" s="4" t="s">
        <v>136</v>
      </c>
      <c r="C29" s="28" t="s">
        <v>49</v>
      </c>
      <c r="D29" s="22" t="s">
        <v>60</v>
      </c>
      <c r="E29" s="17"/>
      <c r="F29" s="19">
        <f t="shared" si="0"/>
        <v>0</v>
      </c>
      <c r="G29" s="16">
        <f>F7/E7</f>
        <v>112940906690.56172</v>
      </c>
      <c r="H29" s="28" t="s">
        <v>49</v>
      </c>
      <c r="I29" s="31"/>
      <c r="J29" s="33" t="s">
        <v>49</v>
      </c>
      <c r="N29" s="36"/>
      <c r="S29" s="36"/>
      <c r="X29" s="36"/>
    </row>
    <row r="30" spans="1:24" ht="16" customHeight="1" x14ac:dyDescent="0.45">
      <c r="A30" s="3"/>
      <c r="B30" s="4" t="s">
        <v>137</v>
      </c>
      <c r="C30" s="22" t="s">
        <v>25</v>
      </c>
      <c r="D30" s="22" t="s">
        <v>26</v>
      </c>
      <c r="E30" s="17"/>
      <c r="F30" s="19">
        <f t="shared" si="0"/>
        <v>0</v>
      </c>
      <c r="G30" s="7">
        <f>G29/G32*G15*G22*G22</f>
        <v>2210198662463116.8</v>
      </c>
      <c r="H30" s="28" t="s">
        <v>72</v>
      </c>
      <c r="I30" s="31"/>
      <c r="J30" s="32" t="s">
        <v>25</v>
      </c>
    </row>
    <row r="31" spans="1:24" ht="16" customHeight="1" x14ac:dyDescent="0.45">
      <c r="A31" s="3"/>
      <c r="B31" s="4" t="s">
        <v>138</v>
      </c>
      <c r="C31" s="28" t="s">
        <v>51</v>
      </c>
      <c r="D31" s="22" t="s">
        <v>59</v>
      </c>
      <c r="E31" s="17"/>
      <c r="F31" s="19">
        <f t="shared" si="0"/>
        <v>0</v>
      </c>
      <c r="G31" s="7">
        <f>G30/G15/G15/G15</f>
        <v>2210198662.4631166</v>
      </c>
      <c r="H31" s="22" t="s">
        <v>27</v>
      </c>
      <c r="I31" s="31"/>
      <c r="J31" s="33" t="s">
        <v>51</v>
      </c>
      <c r="L31" s="37"/>
      <c r="N31" s="36"/>
      <c r="Q31" s="37"/>
      <c r="S31" s="36"/>
      <c r="V31" s="37"/>
      <c r="X31" s="36"/>
    </row>
    <row r="32" spans="1:24" ht="16" customHeight="1" x14ac:dyDescent="0.45">
      <c r="A32" s="3"/>
      <c r="B32" s="4" t="s">
        <v>139</v>
      </c>
      <c r="C32" s="22" t="s">
        <v>50</v>
      </c>
      <c r="D32" s="22" t="s">
        <v>57</v>
      </c>
      <c r="E32" s="17"/>
      <c r="F32" s="19">
        <f t="shared" si="0"/>
        <v>0</v>
      </c>
      <c r="G32" s="16">
        <f>F12/E12</f>
        <v>5.6856294546824271E-12</v>
      </c>
      <c r="H32" s="22" t="s">
        <v>50</v>
      </c>
      <c r="I32" s="31"/>
      <c r="J32" s="32" t="s">
        <v>50</v>
      </c>
    </row>
    <row r="33" spans="1:24" ht="16" customHeight="1" x14ac:dyDescent="0.45">
      <c r="A33" s="3"/>
      <c r="B33" s="4" t="s">
        <v>140</v>
      </c>
      <c r="C33" s="22" t="s">
        <v>28</v>
      </c>
      <c r="D33" s="22" t="s">
        <v>29</v>
      </c>
      <c r="E33" s="17"/>
      <c r="F33" s="19">
        <f t="shared" si="0"/>
        <v>0</v>
      </c>
      <c r="G33" s="7">
        <f>G29/G32*G22*G22*G22</f>
        <v>737242917.05267525</v>
      </c>
      <c r="H33" s="28" t="s">
        <v>73</v>
      </c>
      <c r="I33" s="31"/>
      <c r="J33" s="32" t="s">
        <v>28</v>
      </c>
      <c r="N33" s="36"/>
      <c r="S33" s="36"/>
      <c r="X33" s="36"/>
    </row>
    <row r="34" spans="1:24" ht="16" customHeight="1" x14ac:dyDescent="0.45">
      <c r="A34" s="3"/>
      <c r="B34" s="4" t="s">
        <v>141</v>
      </c>
      <c r="C34" s="22" t="s">
        <v>22</v>
      </c>
      <c r="D34" s="22" t="s">
        <v>58</v>
      </c>
      <c r="E34" s="17"/>
      <c r="F34" s="19">
        <f t="shared" si="0"/>
        <v>0</v>
      </c>
      <c r="G34" s="7">
        <f>G33/G15/G15</f>
        <v>73724.291705267518</v>
      </c>
      <c r="H34" s="22" t="s">
        <v>30</v>
      </c>
      <c r="I34" s="31"/>
      <c r="J34" s="32" t="s">
        <v>22</v>
      </c>
    </row>
    <row r="35" spans="1:24" ht="16" customHeight="1" x14ac:dyDescent="0.45">
      <c r="A35" s="3"/>
      <c r="B35" s="4" t="s">
        <v>142</v>
      </c>
      <c r="C35" s="28" t="s">
        <v>11</v>
      </c>
      <c r="D35" s="22" t="s">
        <v>31</v>
      </c>
      <c r="E35" s="17">
        <v>1</v>
      </c>
      <c r="F35" s="19">
        <f t="shared" si="0"/>
        <v>195.69514069146561</v>
      </c>
      <c r="G35" s="7">
        <f>G22*G22/G32</f>
        <v>195.69514069146561</v>
      </c>
      <c r="H35" s="22" t="s">
        <v>74</v>
      </c>
      <c r="I35" s="31"/>
      <c r="J35" s="33" t="s">
        <v>11</v>
      </c>
    </row>
    <row r="36" spans="1:24" ht="16" customHeight="1" x14ac:dyDescent="0.45">
      <c r="A36" s="3"/>
      <c r="B36" s="4" t="s">
        <v>143</v>
      </c>
      <c r="C36" s="22" t="s">
        <v>32</v>
      </c>
      <c r="D36" s="22" t="s">
        <v>61</v>
      </c>
      <c r="E36" s="17"/>
      <c r="F36" s="19">
        <f t="shared" si="0"/>
        <v>0</v>
      </c>
      <c r="G36" s="7">
        <f>G22*G22/G32/G15</f>
        <v>1.9569514069146561</v>
      </c>
      <c r="H36" s="22" t="s">
        <v>75</v>
      </c>
      <c r="I36" s="31"/>
      <c r="J36" s="32" t="s">
        <v>32</v>
      </c>
    </row>
    <row r="37" spans="1:24" ht="16" customHeight="1" x14ac:dyDescent="0.45">
      <c r="A37" s="3"/>
      <c r="B37" s="4" t="s">
        <v>145</v>
      </c>
      <c r="C37" s="22" t="s">
        <v>26</v>
      </c>
      <c r="D37" s="22" t="s">
        <v>19</v>
      </c>
      <c r="E37" s="17"/>
      <c r="F37" s="19">
        <f t="shared" si="0"/>
        <v>0</v>
      </c>
      <c r="G37" s="7">
        <f>G29*G15</f>
        <v>11294090669056.172</v>
      </c>
      <c r="H37" s="28" t="s">
        <v>67</v>
      </c>
      <c r="I37" s="31"/>
      <c r="J37" s="32" t="s">
        <v>26</v>
      </c>
    </row>
    <row r="38" spans="1:24" ht="16" customHeight="1" x14ac:dyDescent="0.45">
      <c r="A38" s="3"/>
      <c r="B38" s="4" t="s">
        <v>146</v>
      </c>
      <c r="C38" s="22" t="s">
        <v>33</v>
      </c>
      <c r="D38" s="28" t="s">
        <v>21</v>
      </c>
      <c r="E38" s="17"/>
      <c r="F38" s="19">
        <f t="shared" si="0"/>
        <v>0</v>
      </c>
      <c r="G38" s="7">
        <f>1/G29/G22</f>
        <v>2.6544187290914771E-7</v>
      </c>
      <c r="H38" s="22" t="s">
        <v>68</v>
      </c>
      <c r="I38" s="31"/>
      <c r="J38" s="32" t="s">
        <v>33</v>
      </c>
    </row>
    <row r="39" spans="1:24" ht="16" customHeight="1" x14ac:dyDescent="0.45">
      <c r="A39" s="3"/>
      <c r="B39" s="4" t="s">
        <v>147</v>
      </c>
      <c r="C39" s="22" t="s">
        <v>34</v>
      </c>
      <c r="D39" s="22" t="s">
        <v>35</v>
      </c>
      <c r="E39" s="17"/>
      <c r="F39" s="19">
        <f t="shared" si="0"/>
        <v>0</v>
      </c>
      <c r="G39" s="7">
        <f>G29*G22</f>
        <v>3767303.1351096136</v>
      </c>
      <c r="H39" s="28" t="s">
        <v>69</v>
      </c>
      <c r="I39" s="31"/>
      <c r="J39" s="32" t="s">
        <v>34</v>
      </c>
    </row>
    <row r="40" spans="1:24" ht="16" customHeight="1" x14ac:dyDescent="0.45">
      <c r="A40" s="3"/>
      <c r="B40" s="4" t="s">
        <v>148</v>
      </c>
      <c r="C40" s="28" t="s">
        <v>52</v>
      </c>
      <c r="D40" s="22" t="s">
        <v>62</v>
      </c>
      <c r="E40" s="17"/>
      <c r="F40" s="19">
        <f t="shared" si="0"/>
        <v>0</v>
      </c>
      <c r="G40" s="7">
        <f>1/G29/G22/G22</f>
        <v>7.9577471535557005E-3</v>
      </c>
      <c r="H40" s="22" t="s">
        <v>70</v>
      </c>
      <c r="I40" s="31"/>
      <c r="J40" s="33" t="s">
        <v>52</v>
      </c>
    </row>
    <row r="41" spans="1:24" ht="16" customHeight="1" x14ac:dyDescent="0.45">
      <c r="A41" s="3"/>
      <c r="B41" s="4" t="s">
        <v>149</v>
      </c>
      <c r="C41" s="22" t="s">
        <v>36</v>
      </c>
      <c r="D41" s="22" t="s">
        <v>37</v>
      </c>
      <c r="E41" s="17"/>
      <c r="F41" s="19">
        <f t="shared" si="0"/>
        <v>0</v>
      </c>
      <c r="G41" s="7">
        <f>G22/G15/G32</f>
        <v>58667.927246550295</v>
      </c>
      <c r="H41" s="22" t="s">
        <v>76</v>
      </c>
      <c r="I41" s="31"/>
      <c r="J41" s="32" t="s">
        <v>36</v>
      </c>
    </row>
    <row r="42" spans="1:24" ht="16" customHeight="1" x14ac:dyDescent="0.45">
      <c r="A42" s="3"/>
      <c r="B42" s="4" t="s">
        <v>150</v>
      </c>
      <c r="C42" s="22" t="s">
        <v>38</v>
      </c>
      <c r="D42" s="22" t="s">
        <v>39</v>
      </c>
      <c r="E42" s="17"/>
      <c r="F42" s="19">
        <f t="shared" si="0"/>
        <v>0</v>
      </c>
      <c r="G42" s="7">
        <f>1/G29/G22/G22*G15</f>
        <v>0.79577471535557009</v>
      </c>
      <c r="H42" s="22" t="s">
        <v>71</v>
      </c>
      <c r="I42" s="31"/>
      <c r="J42" s="32" t="s">
        <v>38</v>
      </c>
    </row>
    <row r="43" spans="1:24" ht="16" customHeight="1" thickBot="1" x14ac:dyDescent="0.6">
      <c r="A43" s="5"/>
      <c r="B43" s="6" t="s">
        <v>151</v>
      </c>
      <c r="C43" s="23" t="s">
        <v>37</v>
      </c>
      <c r="D43" s="23" t="s">
        <v>40</v>
      </c>
      <c r="E43" s="18"/>
      <c r="F43" s="20">
        <f t="shared" si="0"/>
        <v>0</v>
      </c>
      <c r="G43" s="8">
        <f>G27/G13</f>
        <v>4.3252513820680877E+17</v>
      </c>
      <c r="H43" s="23" t="s">
        <v>77</v>
      </c>
      <c r="I43" s="34"/>
      <c r="J43" s="35" t="s">
        <v>37</v>
      </c>
    </row>
    <row r="45" spans="1:24" ht="16" customHeight="1" thickBot="1" x14ac:dyDescent="0.6"/>
    <row r="46" spans="1:24" ht="16" customHeight="1" x14ac:dyDescent="0.45">
      <c r="A46" s="1"/>
      <c r="B46" s="2"/>
      <c r="C46" s="21"/>
      <c r="D46" s="21"/>
      <c r="E46" s="10"/>
      <c r="F46" s="10"/>
      <c r="G46" s="10"/>
      <c r="H46" s="21"/>
      <c r="I46" s="29"/>
      <c r="J46" s="30"/>
    </row>
    <row r="47" spans="1:24" ht="16" customHeight="1" x14ac:dyDescent="0.45">
      <c r="A47" s="3" t="s">
        <v>41</v>
      </c>
      <c r="B47" s="4" t="s">
        <v>126</v>
      </c>
      <c r="C47" s="22" t="s">
        <v>5</v>
      </c>
      <c r="D47" s="22" t="s">
        <v>7</v>
      </c>
      <c r="E47" s="19">
        <f>F47/G47</f>
        <v>0</v>
      </c>
      <c r="F47" s="17"/>
      <c r="G47" s="7">
        <f>G19</f>
        <v>3.8873420789722712E+26</v>
      </c>
      <c r="H47" s="28" t="s">
        <v>63</v>
      </c>
      <c r="I47" s="31"/>
      <c r="J47" s="32" t="s">
        <v>5</v>
      </c>
    </row>
    <row r="48" spans="1:24" ht="16" customHeight="1" x14ac:dyDescent="0.45">
      <c r="A48" s="3"/>
      <c r="B48" s="4" t="s">
        <v>152</v>
      </c>
      <c r="C48" s="22" t="s">
        <v>8</v>
      </c>
      <c r="D48" s="22" t="s">
        <v>9</v>
      </c>
      <c r="E48" s="19">
        <f t="shared" ref="E48:E71" si="1">F48/G48</f>
        <v>0</v>
      </c>
      <c r="F48" s="17"/>
      <c r="G48" s="7">
        <f>G20</f>
        <v>2997924.58</v>
      </c>
      <c r="H48" s="22" t="s">
        <v>10</v>
      </c>
      <c r="I48" s="31"/>
      <c r="J48" s="32" t="s">
        <v>8</v>
      </c>
    </row>
    <row r="49" spans="1:10" ht="16" customHeight="1" x14ac:dyDescent="0.45">
      <c r="A49" s="3"/>
      <c r="B49" s="4" t="s">
        <v>153</v>
      </c>
      <c r="C49" s="22" t="s">
        <v>11</v>
      </c>
      <c r="D49" s="22" t="s">
        <v>12</v>
      </c>
      <c r="E49" s="19">
        <f t="shared" si="1"/>
        <v>0</v>
      </c>
      <c r="F49" s="17"/>
      <c r="G49" s="7">
        <f>G21</f>
        <v>3.3356409519815204E-7</v>
      </c>
      <c r="H49" s="22" t="s">
        <v>13</v>
      </c>
      <c r="I49" s="31"/>
      <c r="J49" s="32" t="s">
        <v>11</v>
      </c>
    </row>
    <row r="50" spans="1:10" ht="16" customHeight="1" x14ac:dyDescent="0.45">
      <c r="A50" s="3"/>
      <c r="B50" s="4" t="s">
        <v>154</v>
      </c>
      <c r="C50" s="22" t="s">
        <v>14</v>
      </c>
      <c r="D50" s="22" t="s">
        <v>53</v>
      </c>
      <c r="E50" s="19">
        <f t="shared" si="1"/>
        <v>0</v>
      </c>
      <c r="F50" s="17"/>
      <c r="G50" s="16">
        <f>G22</f>
        <v>3.3356409519815205E-5</v>
      </c>
      <c r="H50" s="22" t="s">
        <v>14</v>
      </c>
      <c r="I50" s="31"/>
      <c r="J50" s="32" t="s">
        <v>14</v>
      </c>
    </row>
    <row r="51" spans="1:10" ht="16" customHeight="1" x14ac:dyDescent="0.45">
      <c r="A51" s="3"/>
      <c r="B51" s="4" t="s">
        <v>130</v>
      </c>
      <c r="C51" s="22" t="s">
        <v>15</v>
      </c>
      <c r="D51" s="22" t="s">
        <v>54</v>
      </c>
      <c r="E51" s="19">
        <f t="shared" si="1"/>
        <v>0</v>
      </c>
      <c r="F51" s="17"/>
      <c r="G51" s="7">
        <f t="shared" ref="G51:G71" si="2">G23</f>
        <v>9.9999999999999995E-7</v>
      </c>
      <c r="H51" s="22" t="s">
        <v>16</v>
      </c>
      <c r="I51" s="31"/>
      <c r="J51" s="32" t="s">
        <v>15</v>
      </c>
    </row>
    <row r="52" spans="1:10" ht="16" customHeight="1" x14ac:dyDescent="0.45">
      <c r="A52" s="3"/>
      <c r="B52" s="4" t="s">
        <v>155</v>
      </c>
      <c r="C52" s="22" t="s">
        <v>17</v>
      </c>
      <c r="D52" s="22" t="s">
        <v>55</v>
      </c>
      <c r="E52" s="19">
        <f t="shared" si="1"/>
        <v>0</v>
      </c>
      <c r="F52" s="17"/>
      <c r="G52" s="7">
        <f t="shared" si="2"/>
        <v>3.3356409519815202E-11</v>
      </c>
      <c r="H52" s="22" t="s">
        <v>18</v>
      </c>
      <c r="I52" s="31"/>
      <c r="J52" s="32" t="s">
        <v>17</v>
      </c>
    </row>
    <row r="53" spans="1:10" ht="16" customHeight="1" x14ac:dyDescent="0.45">
      <c r="A53" s="3"/>
      <c r="B53" s="4" t="s">
        <v>132</v>
      </c>
      <c r="C53" s="22" t="s">
        <v>19</v>
      </c>
      <c r="D53" s="22" t="s">
        <v>17</v>
      </c>
      <c r="E53" s="19">
        <f t="shared" si="1"/>
        <v>0</v>
      </c>
      <c r="F53" s="17"/>
      <c r="G53" s="7">
        <f t="shared" si="2"/>
        <v>4325251382068087.5</v>
      </c>
      <c r="H53" s="28" t="s">
        <v>64</v>
      </c>
      <c r="I53" s="31"/>
      <c r="J53" s="32" t="s">
        <v>19</v>
      </c>
    </row>
    <row r="54" spans="1:10" ht="16" customHeight="1" x14ac:dyDescent="0.45">
      <c r="A54" s="3"/>
      <c r="B54" s="4" t="s">
        <v>156</v>
      </c>
      <c r="C54" s="22" t="s">
        <v>20</v>
      </c>
      <c r="D54" s="22" t="s">
        <v>21</v>
      </c>
      <c r="E54" s="19">
        <f t="shared" si="1"/>
        <v>0</v>
      </c>
      <c r="F54" s="17"/>
      <c r="G54" s="7">
        <f t="shared" si="2"/>
        <v>144274856376.40982</v>
      </c>
      <c r="H54" s="28" t="s">
        <v>65</v>
      </c>
      <c r="I54" s="31"/>
      <c r="J54" s="32" t="s">
        <v>20</v>
      </c>
    </row>
    <row r="55" spans="1:10" ht="16" customHeight="1" x14ac:dyDescent="0.45">
      <c r="A55" s="3"/>
      <c r="B55" s="4" t="s">
        <v>157</v>
      </c>
      <c r="C55" s="22" t="s">
        <v>21</v>
      </c>
      <c r="D55" s="22" t="s">
        <v>22</v>
      </c>
      <c r="E55" s="19">
        <f t="shared" si="1"/>
        <v>0</v>
      </c>
      <c r="F55" s="17"/>
      <c r="G55" s="7">
        <f t="shared" si="2"/>
        <v>4.3252513820680877E+17</v>
      </c>
      <c r="H55" s="28" t="s">
        <v>66</v>
      </c>
      <c r="I55" s="31"/>
      <c r="J55" s="32" t="s">
        <v>21</v>
      </c>
    </row>
    <row r="56" spans="1:10" ht="16" customHeight="1" x14ac:dyDescent="0.45">
      <c r="A56" s="3"/>
      <c r="B56" s="4" t="s">
        <v>158</v>
      </c>
      <c r="C56" s="22" t="s">
        <v>23</v>
      </c>
      <c r="D56" s="22" t="s">
        <v>56</v>
      </c>
      <c r="E56" s="19">
        <f t="shared" si="1"/>
        <v>0</v>
      </c>
      <c r="F56" s="17"/>
      <c r="G56" s="7">
        <f t="shared" si="2"/>
        <v>432525138206.80865</v>
      </c>
      <c r="H56" s="22" t="s">
        <v>24</v>
      </c>
      <c r="I56" s="31"/>
      <c r="J56" s="32" t="s">
        <v>23</v>
      </c>
    </row>
    <row r="57" spans="1:10" ht="16" customHeight="1" x14ac:dyDescent="0.45">
      <c r="A57" s="3"/>
      <c r="B57" s="4" t="s">
        <v>159</v>
      </c>
      <c r="C57" s="28" t="s">
        <v>49</v>
      </c>
      <c r="D57" s="22" t="s">
        <v>60</v>
      </c>
      <c r="E57" s="19">
        <f t="shared" si="1"/>
        <v>0</v>
      </c>
      <c r="F57" s="17"/>
      <c r="G57" s="16">
        <f t="shared" si="2"/>
        <v>112940906690.56172</v>
      </c>
      <c r="H57" s="28" t="s">
        <v>49</v>
      </c>
      <c r="I57" s="31"/>
      <c r="J57" s="33" t="s">
        <v>49</v>
      </c>
    </row>
    <row r="58" spans="1:10" ht="16" customHeight="1" x14ac:dyDescent="0.45">
      <c r="A58" s="3"/>
      <c r="B58" s="4" t="s">
        <v>137</v>
      </c>
      <c r="C58" s="22" t="s">
        <v>25</v>
      </c>
      <c r="D58" s="22" t="s">
        <v>26</v>
      </c>
      <c r="E58" s="19">
        <f t="shared" si="1"/>
        <v>0</v>
      </c>
      <c r="F58" s="17"/>
      <c r="G58" s="7">
        <f t="shared" si="2"/>
        <v>2210198662463116.8</v>
      </c>
      <c r="H58" s="28" t="s">
        <v>72</v>
      </c>
      <c r="I58" s="31"/>
      <c r="J58" s="32" t="s">
        <v>25</v>
      </c>
    </row>
    <row r="59" spans="1:10" ht="16" customHeight="1" x14ac:dyDescent="0.45">
      <c r="A59" s="3"/>
      <c r="B59" s="4" t="s">
        <v>160</v>
      </c>
      <c r="C59" s="28" t="s">
        <v>51</v>
      </c>
      <c r="D59" s="22" t="s">
        <v>59</v>
      </c>
      <c r="E59" s="19">
        <f t="shared" si="1"/>
        <v>0</v>
      </c>
      <c r="F59" s="17"/>
      <c r="G59" s="7">
        <f t="shared" si="2"/>
        <v>2210198662.4631166</v>
      </c>
      <c r="H59" s="22" t="s">
        <v>27</v>
      </c>
      <c r="I59" s="31"/>
      <c r="J59" s="33" t="s">
        <v>51</v>
      </c>
    </row>
    <row r="60" spans="1:10" ht="16" customHeight="1" x14ac:dyDescent="0.45">
      <c r="A60" s="3"/>
      <c r="B60" s="4" t="s">
        <v>161</v>
      </c>
      <c r="C60" s="22" t="s">
        <v>50</v>
      </c>
      <c r="D60" s="22" t="s">
        <v>57</v>
      </c>
      <c r="E60" s="19">
        <f t="shared" si="1"/>
        <v>0</v>
      </c>
      <c r="F60" s="17"/>
      <c r="G60" s="16">
        <f t="shared" si="2"/>
        <v>5.6856294546824271E-12</v>
      </c>
      <c r="H60" s="22" t="s">
        <v>50</v>
      </c>
      <c r="I60" s="31"/>
      <c r="J60" s="32" t="s">
        <v>50</v>
      </c>
    </row>
    <row r="61" spans="1:10" ht="16" customHeight="1" x14ac:dyDescent="0.45">
      <c r="A61" s="3"/>
      <c r="B61" s="4" t="s">
        <v>162</v>
      </c>
      <c r="C61" s="22" t="s">
        <v>28</v>
      </c>
      <c r="D61" s="22" t="s">
        <v>29</v>
      </c>
      <c r="E61" s="19">
        <f t="shared" si="1"/>
        <v>0</v>
      </c>
      <c r="F61" s="17"/>
      <c r="G61" s="7">
        <f t="shared" si="2"/>
        <v>737242917.05267525</v>
      </c>
      <c r="H61" s="28" t="s">
        <v>73</v>
      </c>
      <c r="I61" s="31"/>
      <c r="J61" s="32" t="s">
        <v>28</v>
      </c>
    </row>
    <row r="62" spans="1:10" ht="16" customHeight="1" x14ac:dyDescent="0.45">
      <c r="A62" s="3"/>
      <c r="B62" s="4" t="s">
        <v>141</v>
      </c>
      <c r="C62" s="22" t="s">
        <v>22</v>
      </c>
      <c r="D62" s="22" t="s">
        <v>58</v>
      </c>
      <c r="E62" s="19">
        <f t="shared" si="1"/>
        <v>0</v>
      </c>
      <c r="F62" s="17"/>
      <c r="G62" s="7">
        <f t="shared" si="2"/>
        <v>73724.291705267518</v>
      </c>
      <c r="H62" s="22" t="s">
        <v>30</v>
      </c>
      <c r="I62" s="31"/>
      <c r="J62" s="32" t="s">
        <v>22</v>
      </c>
    </row>
    <row r="63" spans="1:10" ht="16" customHeight="1" x14ac:dyDescent="0.45">
      <c r="A63" s="3"/>
      <c r="B63" s="4" t="s">
        <v>142</v>
      </c>
      <c r="C63" s="28" t="s">
        <v>11</v>
      </c>
      <c r="D63" s="22" t="s">
        <v>31</v>
      </c>
      <c r="E63" s="19">
        <f t="shared" si="1"/>
        <v>0</v>
      </c>
      <c r="F63" s="17"/>
      <c r="G63" s="7">
        <f t="shared" si="2"/>
        <v>195.69514069146561</v>
      </c>
      <c r="H63" s="22" t="s">
        <v>74</v>
      </c>
      <c r="I63" s="31"/>
      <c r="J63" s="33" t="s">
        <v>11</v>
      </c>
    </row>
    <row r="64" spans="1:10" ht="16" customHeight="1" x14ac:dyDescent="0.45">
      <c r="A64" s="3"/>
      <c r="B64" s="4" t="s">
        <v>143</v>
      </c>
      <c r="C64" s="22" t="s">
        <v>32</v>
      </c>
      <c r="D64" s="22" t="s">
        <v>61</v>
      </c>
      <c r="E64" s="19">
        <f t="shared" si="1"/>
        <v>0</v>
      </c>
      <c r="F64" s="17"/>
      <c r="G64" s="7">
        <f t="shared" si="2"/>
        <v>1.9569514069146561</v>
      </c>
      <c r="H64" s="22" t="s">
        <v>75</v>
      </c>
      <c r="I64" s="31"/>
      <c r="J64" s="32" t="s">
        <v>32</v>
      </c>
    </row>
    <row r="65" spans="1:10" ht="16" customHeight="1" x14ac:dyDescent="0.45">
      <c r="A65" s="3"/>
      <c r="B65" s="4" t="s">
        <v>144</v>
      </c>
      <c r="C65" s="22" t="s">
        <v>26</v>
      </c>
      <c r="D65" s="22" t="s">
        <v>19</v>
      </c>
      <c r="E65" s="19">
        <f t="shared" si="1"/>
        <v>0</v>
      </c>
      <c r="F65" s="17"/>
      <c r="G65" s="7">
        <f t="shared" si="2"/>
        <v>11294090669056.172</v>
      </c>
      <c r="H65" s="28" t="s">
        <v>67</v>
      </c>
      <c r="I65" s="31"/>
      <c r="J65" s="32" t="s">
        <v>26</v>
      </c>
    </row>
    <row r="66" spans="1:10" ht="16" customHeight="1" x14ac:dyDescent="0.45">
      <c r="A66" s="3"/>
      <c r="B66" s="4" t="s">
        <v>146</v>
      </c>
      <c r="C66" s="22" t="s">
        <v>33</v>
      </c>
      <c r="D66" s="28" t="s">
        <v>21</v>
      </c>
      <c r="E66" s="19">
        <f t="shared" si="1"/>
        <v>0</v>
      </c>
      <c r="F66" s="17"/>
      <c r="G66" s="7">
        <f t="shared" si="2"/>
        <v>2.6544187290914771E-7</v>
      </c>
      <c r="H66" s="22" t="s">
        <v>68</v>
      </c>
      <c r="I66" s="31"/>
      <c r="J66" s="32" t="s">
        <v>33</v>
      </c>
    </row>
    <row r="67" spans="1:10" ht="16" customHeight="1" x14ac:dyDescent="0.45">
      <c r="A67" s="3"/>
      <c r="B67" s="4" t="s">
        <v>163</v>
      </c>
      <c r="C67" s="22" t="s">
        <v>34</v>
      </c>
      <c r="D67" s="22" t="s">
        <v>35</v>
      </c>
      <c r="E67" s="19">
        <f t="shared" si="1"/>
        <v>0</v>
      </c>
      <c r="F67" s="17"/>
      <c r="G67" s="7">
        <f t="shared" si="2"/>
        <v>3767303.1351096136</v>
      </c>
      <c r="H67" s="28" t="s">
        <v>69</v>
      </c>
      <c r="I67" s="31"/>
      <c r="J67" s="32" t="s">
        <v>34</v>
      </c>
    </row>
    <row r="68" spans="1:10" ht="16" customHeight="1" x14ac:dyDescent="0.45">
      <c r="A68" s="3"/>
      <c r="B68" s="4" t="s">
        <v>164</v>
      </c>
      <c r="C68" s="28" t="s">
        <v>52</v>
      </c>
      <c r="D68" s="22" t="s">
        <v>62</v>
      </c>
      <c r="E68" s="19">
        <f t="shared" si="1"/>
        <v>0</v>
      </c>
      <c r="F68" s="17"/>
      <c r="G68" s="7">
        <f t="shared" si="2"/>
        <v>7.9577471535557005E-3</v>
      </c>
      <c r="H68" s="22" t="s">
        <v>70</v>
      </c>
      <c r="I68" s="31"/>
      <c r="J68" s="33" t="s">
        <v>52</v>
      </c>
    </row>
    <row r="69" spans="1:10" ht="16" customHeight="1" x14ac:dyDescent="0.45">
      <c r="A69" s="3"/>
      <c r="B69" s="4" t="s">
        <v>165</v>
      </c>
      <c r="C69" s="22" t="s">
        <v>36</v>
      </c>
      <c r="D69" s="22" t="s">
        <v>37</v>
      </c>
      <c r="E69" s="19">
        <f t="shared" si="1"/>
        <v>0</v>
      </c>
      <c r="F69" s="17"/>
      <c r="G69" s="7">
        <f t="shared" si="2"/>
        <v>58667.927246550295</v>
      </c>
      <c r="H69" s="22" t="s">
        <v>76</v>
      </c>
      <c r="I69" s="31"/>
      <c r="J69" s="32" t="s">
        <v>36</v>
      </c>
    </row>
    <row r="70" spans="1:10" ht="16" customHeight="1" x14ac:dyDescent="0.45">
      <c r="A70" s="3"/>
      <c r="B70" s="4" t="s">
        <v>150</v>
      </c>
      <c r="C70" s="22" t="s">
        <v>38</v>
      </c>
      <c r="D70" s="22" t="s">
        <v>39</v>
      </c>
      <c r="E70" s="19">
        <f t="shared" si="1"/>
        <v>0</v>
      </c>
      <c r="F70" s="17"/>
      <c r="G70" s="7">
        <f t="shared" si="2"/>
        <v>0.79577471535557009</v>
      </c>
      <c r="H70" s="22" t="s">
        <v>71</v>
      </c>
      <c r="I70" s="31"/>
      <c r="J70" s="32" t="s">
        <v>38</v>
      </c>
    </row>
    <row r="71" spans="1:10" ht="16" customHeight="1" thickBot="1" x14ac:dyDescent="0.6">
      <c r="A71" s="5"/>
      <c r="B71" s="6" t="s">
        <v>151</v>
      </c>
      <c r="C71" s="23" t="s">
        <v>37</v>
      </c>
      <c r="D71" s="23" t="s">
        <v>40</v>
      </c>
      <c r="E71" s="20">
        <f t="shared" si="1"/>
        <v>0</v>
      </c>
      <c r="F71" s="18"/>
      <c r="G71" s="8">
        <f t="shared" si="2"/>
        <v>4.3252513820680877E+17</v>
      </c>
      <c r="H71" s="23" t="s">
        <v>77</v>
      </c>
      <c r="I71" s="34"/>
      <c r="J71" s="35" t="s">
        <v>37</v>
      </c>
    </row>
    <row r="72" spans="1:10" ht="16" customHeight="1" x14ac:dyDescent="0.45">
      <c r="A72" s="11"/>
      <c r="B72" s="11"/>
      <c r="C72" s="25"/>
      <c r="D72" s="25"/>
      <c r="E72" s="12"/>
      <c r="F72" s="12"/>
      <c r="G72" s="12"/>
      <c r="H72" s="25"/>
      <c r="I72" s="27"/>
    </row>
  </sheetData>
  <mergeCells count="2">
    <mergeCell ref="A3:A4"/>
    <mergeCell ref="A6:A13"/>
  </mergeCells>
  <phoneticPr fontId="3"/>
  <pageMargins left="0.78700000000000003" right="0.78700000000000003" top="0.98399999999999999" bottom="0.98399999999999999" header="0.51200000000000001" footer="0.51200000000000001"/>
  <pageSetup paperSize="9" orientation="landscape" horizontalDpi="1200" verticalDpi="1200" r:id="rId1"/>
  <rowBreaks count="2" manualBreakCount="2">
    <brk id="16" max="16383" man="1"/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parameter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y-miyake</dc:creator>
  <cp:lastModifiedBy>三宅洋平</cp:lastModifiedBy>
  <cp:lastPrinted>2015-06-23T18:43:42Z</cp:lastPrinted>
  <dcterms:created xsi:type="dcterms:W3CDTF">2011-04-04T05:25:39Z</dcterms:created>
  <dcterms:modified xsi:type="dcterms:W3CDTF">2023-05-08T10:46:59Z</dcterms:modified>
</cp:coreProperties>
</file>