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y-miyake\Dropbox\EMSES_tutorial\"/>
    </mc:Choice>
  </mc:AlternateContent>
  <xr:revisionPtr revIDLastSave="0" documentId="13_ncr:1_{1020D8F5-9A2E-4101-93BA-EACB654031B3}" xr6:coauthVersionLast="47" xr6:coauthVersionMax="47" xr10:uidLastSave="{00000000-0000-0000-0000-000000000000}"/>
  <bookViews>
    <workbookView xWindow="1055" yWindow="2305" windowWidth="18800" windowHeight="15480" tabRatio="988" xr2:uid="{00000000-000D-0000-FFFF-FFFF00000000}"/>
  </bookViews>
  <sheets>
    <sheet name="parame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" l="1"/>
  <c r="C11" i="1" l="1"/>
  <c r="C3" i="1"/>
  <c r="C21" i="1" l="1"/>
  <c r="G15" i="2"/>
  <c r="C19" i="1"/>
  <c r="C13" i="1"/>
  <c r="C7" i="1"/>
  <c r="C5" i="1"/>
  <c r="C51" i="1" l="1"/>
  <c r="C42" i="1"/>
  <c r="C40" i="1"/>
  <c r="M20" i="2"/>
  <c r="M17" i="2"/>
  <c r="M11" i="2"/>
  <c r="L24" i="2"/>
  <c r="L16" i="2"/>
  <c r="M16" i="2" s="1"/>
  <c r="L28" i="2" l="1"/>
  <c r="L13" i="2"/>
  <c r="G17" i="2"/>
  <c r="C25" i="1" l="1"/>
  <c r="E16" i="2"/>
  <c r="C41" i="1"/>
  <c r="M14" i="2" l="1"/>
  <c r="C32" i="1"/>
  <c r="M19" i="2" s="1"/>
  <c r="C29" i="1"/>
  <c r="C27" i="1"/>
  <c r="M13" i="2"/>
  <c r="C30" i="1" l="1"/>
  <c r="M28" i="2"/>
  <c r="G22" i="2"/>
  <c r="E17" i="2"/>
  <c r="G23" i="2"/>
  <c r="F13" i="2"/>
  <c r="E12" i="2"/>
  <c r="G32" i="2" s="1"/>
  <c r="L10" i="2"/>
  <c r="E8" i="2"/>
  <c r="E7" i="2"/>
  <c r="C23" i="1" s="1"/>
  <c r="L6" i="2"/>
  <c r="M6" i="2" s="1"/>
  <c r="F4" i="2"/>
  <c r="M3" i="2"/>
  <c r="F3" i="2"/>
  <c r="L2" i="2"/>
  <c r="M2" i="2" s="1"/>
  <c r="M10" i="2" l="1"/>
  <c r="N10" i="2" s="1"/>
  <c r="C43" i="1" s="1"/>
  <c r="C44" i="1" s="1"/>
  <c r="M4" i="2"/>
  <c r="F22" i="2"/>
  <c r="N16" i="2"/>
  <c r="N17" i="2"/>
  <c r="M7" i="2"/>
  <c r="N19" i="2"/>
  <c r="C45" i="1" s="1"/>
  <c r="G50" i="2"/>
  <c r="E50" i="2" s="1"/>
  <c r="N13" i="2"/>
  <c r="C46" i="1" s="1"/>
  <c r="C47" i="1" s="1"/>
  <c r="N14" i="2"/>
  <c r="N11" i="2"/>
  <c r="G36" i="2"/>
  <c r="F32" i="2"/>
  <c r="G35" i="2"/>
  <c r="C55" i="1" s="1"/>
  <c r="G60" i="2"/>
  <c r="E60" i="2" s="1"/>
  <c r="G51" i="2"/>
  <c r="E51" i="2" s="1"/>
  <c r="F23" i="2"/>
  <c r="M8" i="2"/>
  <c r="E15" i="2"/>
  <c r="G29" i="2"/>
  <c r="G41" i="2"/>
  <c r="G20" i="2"/>
  <c r="N20" i="2"/>
  <c r="G24" i="2"/>
  <c r="N21" i="2"/>
  <c r="C50" i="1" l="1"/>
  <c r="C49" i="1"/>
  <c r="C48" i="1"/>
  <c r="G63" i="2"/>
  <c r="E63" i="2" s="1"/>
  <c r="F35" i="2"/>
  <c r="F36" i="2"/>
  <c r="G64" i="2"/>
  <c r="E64" i="2" s="1"/>
  <c r="F24" i="2"/>
  <c r="G52" i="2"/>
  <c r="E52" i="2" s="1"/>
  <c r="G40" i="2"/>
  <c r="G19" i="2"/>
  <c r="G39" i="2"/>
  <c r="G28" i="2"/>
  <c r="G57" i="2"/>
  <c r="E57" i="2" s="1"/>
  <c r="G42" i="2"/>
  <c r="G38" i="2"/>
  <c r="G30" i="2"/>
  <c r="G27" i="2"/>
  <c r="G37" i="2"/>
  <c r="G33" i="2"/>
  <c r="F29" i="2"/>
  <c r="G26" i="2"/>
  <c r="G21" i="2"/>
  <c r="G48" i="2"/>
  <c r="E48" i="2" s="1"/>
  <c r="F20" i="2"/>
  <c r="G69" i="2"/>
  <c r="E69" i="2" s="1"/>
  <c r="F41" i="2"/>
  <c r="G25" i="2"/>
  <c r="F21" i="2" l="1"/>
  <c r="G49" i="2"/>
  <c r="E49" i="2" s="1"/>
  <c r="N3" i="2"/>
  <c r="N2" i="2"/>
  <c r="C36" i="1" s="1"/>
  <c r="N28" i="2"/>
  <c r="C38" i="1" s="1"/>
  <c r="N7" i="2"/>
  <c r="N6" i="2"/>
  <c r="C37" i="1" s="1"/>
  <c r="N4" i="2"/>
  <c r="G55" i="2"/>
  <c r="E55" i="2" s="1"/>
  <c r="G43" i="2"/>
  <c r="F27" i="2"/>
  <c r="G58" i="2"/>
  <c r="E58" i="2" s="1"/>
  <c r="G31" i="2"/>
  <c r="F30" i="2"/>
  <c r="F9" i="2"/>
  <c r="F28" i="2"/>
  <c r="G56" i="2"/>
  <c r="E56" i="2" s="1"/>
  <c r="N8" i="2"/>
  <c r="G70" i="2"/>
  <c r="E70" i="2" s="1"/>
  <c r="F42" i="2"/>
  <c r="F25" i="2"/>
  <c r="G53" i="2"/>
  <c r="E53" i="2" s="1"/>
  <c r="G61" i="2"/>
  <c r="E61" i="2" s="1"/>
  <c r="G34" i="2"/>
  <c r="N24" i="2" s="1"/>
  <c r="C53" i="1" s="1"/>
  <c r="F33" i="2"/>
  <c r="G67" i="2"/>
  <c r="E67" i="2" s="1"/>
  <c r="F39" i="2"/>
  <c r="F8" i="2"/>
  <c r="F40" i="2"/>
  <c r="G68" i="2"/>
  <c r="E68" i="2" s="1"/>
  <c r="G66" i="2"/>
  <c r="E66" i="2" s="1"/>
  <c r="F38" i="2"/>
  <c r="F26" i="2"/>
  <c r="G54" i="2"/>
  <c r="E54" i="2" s="1"/>
  <c r="G65" i="2"/>
  <c r="E65" i="2" s="1"/>
  <c r="F37" i="2"/>
  <c r="G47" i="2"/>
  <c r="E47" i="2" s="1"/>
  <c r="F11" i="2"/>
  <c r="F19" i="2"/>
  <c r="F10" i="2"/>
  <c r="G71" i="2" l="1"/>
  <c r="E71" i="2" s="1"/>
  <c r="F43" i="2"/>
  <c r="G62" i="2"/>
  <c r="E62" i="2" s="1"/>
  <c r="F34" i="2"/>
  <c r="G59" i="2"/>
  <c r="E59" i="2" s="1"/>
  <c r="F31" i="2"/>
</calcChain>
</file>

<file path=xl/sharedStrings.xml><?xml version="1.0" encoding="utf-8"?>
<sst xmlns="http://schemas.openxmlformats.org/spreadsheetml/2006/main" count="345" uniqueCount="165">
  <si>
    <t>Plasma parameters</t>
  </si>
  <si>
    <t>Plasma density (/cc)</t>
  </si>
  <si>
    <t>Ion-to-electron mass ratio</t>
  </si>
  <si>
    <t>Mach number #1</t>
  </si>
  <si>
    <t>Mach number #2</t>
  </si>
  <si>
    <t>plasma.inp</t>
  </si>
  <si>
    <t>&amp;plasma</t>
  </si>
  <si>
    <t>wp(1)</t>
  </si>
  <si>
    <t>wp(2)</t>
  </si>
  <si>
    <t>wc</t>
  </si>
  <si>
    <t>&amp;intp</t>
  </si>
  <si>
    <t>qm(1)</t>
  </si>
  <si>
    <t>qm(2)</t>
  </si>
  <si>
    <t>path(1)</t>
  </si>
  <si>
    <t>peth(1)</t>
  </si>
  <si>
    <t>path(2)</t>
  </si>
  <si>
    <t>peth(2)</t>
  </si>
  <si>
    <t>Physical unit</t>
  </si>
  <si>
    <t>EMSES unit</t>
  </si>
  <si>
    <t>Conversion coefficient</t>
  </si>
  <si>
    <t>wpe</t>
  </si>
  <si>
    <t>Constants
(math.)</t>
  </si>
  <si>
    <t>Circular constant</t>
  </si>
  <si>
    <t>p</t>
  </si>
  <si>
    <t>-</t>
  </si>
  <si>
    <t>Napier's constant</t>
  </si>
  <si>
    <t>e</t>
  </si>
  <si>
    <t>Constants
(physics)</t>
  </si>
  <si>
    <t>Light speed</t>
  </si>
  <si>
    <t>c</t>
  </si>
  <si>
    <t>wpi</t>
  </si>
  <si>
    <t>FS-Permittivity</t>
  </si>
  <si>
    <t>e0</t>
  </si>
  <si>
    <t>FS-Permeability</t>
  </si>
  <si>
    <t>m0</t>
  </si>
  <si>
    <t>Elementary charge</t>
  </si>
  <si>
    <t>qe</t>
  </si>
  <si>
    <t>Electron mass</t>
  </si>
  <si>
    <t>me</t>
  </si>
  <si>
    <t>t</t>
  </si>
  <si>
    <t>vthe</t>
  </si>
  <si>
    <t>Proton mass</t>
  </si>
  <si>
    <t>mi</t>
  </si>
  <si>
    <t>Electron charge-to-mass ratio</t>
  </si>
  <si>
    <t>qe/me</t>
  </si>
  <si>
    <t>Boltzmann constant</t>
  </si>
  <si>
    <t>kB</t>
  </si>
  <si>
    <t>vthi</t>
  </si>
  <si>
    <t>Parameter</t>
  </si>
  <si>
    <t>Sim-to-Real length ratio</t>
  </si>
  <si>
    <t>l</t>
  </si>
  <si>
    <t>m</t>
  </si>
  <si>
    <t>R→S</t>
  </si>
  <si>
    <t>Mass</t>
  </si>
  <si>
    <t>kg</t>
  </si>
  <si>
    <t>e/(qm-1)^2*l*v^2</t>
  </si>
  <si>
    <t>V</t>
  </si>
  <si>
    <t>Time</t>
  </si>
  <si>
    <t>s</t>
  </si>
  <si>
    <t>l/v</t>
  </si>
  <si>
    <t>Frequency</t>
  </si>
  <si>
    <t>f</t>
  </si>
  <si>
    <t>Hz</t>
  </si>
  <si>
    <t>1/t</t>
  </si>
  <si>
    <t>Velocity</t>
  </si>
  <si>
    <t>v</t>
  </si>
  <si>
    <t>ms-1</t>
  </si>
  <si>
    <t>Number density</t>
  </si>
  <si>
    <t>n</t>
  </si>
  <si>
    <t>m-3</t>
  </si>
  <si>
    <t>1/l^3</t>
  </si>
  <si>
    <t>Flux</t>
  </si>
  <si>
    <t>N</t>
  </si>
  <si>
    <t>m-2s-1</t>
  </si>
  <si>
    <t>v*n</t>
  </si>
  <si>
    <t>Force</t>
  </si>
  <si>
    <t>F</t>
  </si>
  <si>
    <t>e/(qm-1)^2*v^4</t>
  </si>
  <si>
    <t>Power</t>
  </si>
  <si>
    <t>P</t>
  </si>
  <si>
    <t>W</t>
  </si>
  <si>
    <t>e/(qm-1)^2*v^5</t>
  </si>
  <si>
    <t>Energy</t>
  </si>
  <si>
    <t>J</t>
  </si>
  <si>
    <t>e/(qm-1)^2*l*v^4</t>
  </si>
  <si>
    <t>Energy density</t>
  </si>
  <si>
    <t>w</t>
  </si>
  <si>
    <t>Jm-3</t>
  </si>
  <si>
    <t>J/l^3</t>
  </si>
  <si>
    <t>wce</t>
  </si>
  <si>
    <t>Permittivity</t>
  </si>
  <si>
    <t>Fm-1</t>
  </si>
  <si>
    <t>Charge</t>
  </si>
  <si>
    <t>q</t>
  </si>
  <si>
    <t>C</t>
  </si>
  <si>
    <t>e/(qm-1)*l*v^2</t>
  </si>
  <si>
    <t>Charge density</t>
  </si>
  <si>
    <t>r</t>
  </si>
  <si>
    <t>Cm-3</t>
  </si>
  <si>
    <t>q/l^3</t>
  </si>
  <si>
    <t>Charge-to-mass ratio</t>
  </si>
  <si>
    <t>qm-1</t>
  </si>
  <si>
    <t>Ckg-1</t>
  </si>
  <si>
    <t>Current</t>
  </si>
  <si>
    <t>I</t>
  </si>
  <si>
    <t>A</t>
  </si>
  <si>
    <t>e/(qm-1)*v^3</t>
  </si>
  <si>
    <t>Current density</t>
  </si>
  <si>
    <t>Am-2</t>
  </si>
  <si>
    <t>I/l^2</t>
  </si>
  <si>
    <t>Potential</t>
  </si>
  <si>
    <t>v^2/(qm-1)</t>
  </si>
  <si>
    <t>Electric field</t>
  </si>
  <si>
    <t>E</t>
  </si>
  <si>
    <t>Vm-1</t>
  </si>
  <si>
    <t>v^2/(qm-1)/l</t>
  </si>
  <si>
    <t>Capacitance</t>
  </si>
  <si>
    <t>e*l</t>
  </si>
  <si>
    <t>Resistance</t>
  </si>
  <si>
    <t>R</t>
  </si>
  <si>
    <t>1/e/v</t>
  </si>
  <si>
    <t>Conductance</t>
  </si>
  <si>
    <t>G</t>
  </si>
  <si>
    <t>S</t>
  </si>
  <si>
    <t>e*v</t>
  </si>
  <si>
    <t>Permiability</t>
  </si>
  <si>
    <t>Hm-1</t>
  </si>
  <si>
    <t>1/e/v^2</t>
  </si>
  <si>
    <t>Magnetic flux density</t>
  </si>
  <si>
    <t>B</t>
  </si>
  <si>
    <t>T</t>
  </si>
  <si>
    <t>v/l/(qm-1)</t>
  </si>
  <si>
    <t>Inductance</t>
  </si>
  <si>
    <t>L</t>
  </si>
  <si>
    <t>H</t>
  </si>
  <si>
    <t>l/v^2/e</t>
  </si>
  <si>
    <t>Temperature</t>
  </si>
  <si>
    <t>K</t>
  </si>
  <si>
    <t>W/kB</t>
  </si>
  <si>
    <t>S→R</t>
  </si>
  <si>
    <t>Grid width (m)</t>
    <phoneticPr fontId="5"/>
  </si>
  <si>
    <t>Plasma flow speed (km/s)</t>
    <phoneticPr fontId="5"/>
  </si>
  <si>
    <t>Electron temperature (eV)</t>
    <phoneticPr fontId="5"/>
  </si>
  <si>
    <t>Ion temperature (eV)</t>
    <phoneticPr fontId="5"/>
  </si>
  <si>
    <t>Magnetic field (nT)</t>
    <phoneticPr fontId="5"/>
  </si>
  <si>
    <t>Debye length (m)</t>
    <phoneticPr fontId="5"/>
  </si>
  <si>
    <t>Electron gyro radius (m)</t>
    <phoneticPr fontId="5"/>
  </si>
  <si>
    <t>Ion gyro radius (m)</t>
    <phoneticPr fontId="5"/>
  </si>
  <si>
    <t>Ion acoustic speed #1 (km/s)</t>
    <phoneticPr fontId="5"/>
  </si>
  <si>
    <t>Ion acoustic speed #2 (km/s)</t>
    <phoneticPr fontId="5"/>
  </si>
  <si>
    <t>Photoelectron current density (microA/m2)</t>
    <phoneticPr fontId="5"/>
  </si>
  <si>
    <t>Photoelectron temperature (eV)</t>
    <phoneticPr fontId="5"/>
  </si>
  <si>
    <t>vthp</t>
    <phoneticPr fontId="5"/>
  </si>
  <si>
    <t>curf</t>
    <phoneticPr fontId="5"/>
  </si>
  <si>
    <t>qm(3)</t>
    <phoneticPr fontId="5"/>
  </si>
  <si>
    <t>path(3)</t>
    <phoneticPr fontId="5"/>
  </si>
  <si>
    <t>peth(3)</t>
    <phoneticPr fontId="5"/>
  </si>
  <si>
    <t>curf(3)</t>
    <phoneticPr fontId="5"/>
  </si>
  <si>
    <t>&amp;emissn</t>
    <phoneticPr fontId="5"/>
  </si>
  <si>
    <t>&amp;ptcond</t>
    <phoneticPr fontId="5"/>
  </si>
  <si>
    <t>biasp</t>
    <phoneticPr fontId="5"/>
  </si>
  <si>
    <t>vdri(1)</t>
    <phoneticPr fontId="5"/>
  </si>
  <si>
    <t>vdri(2)</t>
    <phoneticPr fontId="5"/>
  </si>
  <si>
    <t>vdri(3)</t>
    <phoneticPr fontId="5"/>
  </si>
  <si>
    <t>Sphere potential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</si>
</sst>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[&lt;=999]000;[&lt;=9999]000\-00;000\-0000"/>
  </numFmts>
  <fonts count="6" x14ac:knownFonts="1">
    <font>
      <sz val="11"/>
      <color rgb="FF000000"/>
      <name val="ＭＳ Ｐゴシック"/>
      <family val="3"/>
      <charset val="128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vertAlign val="superscript"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FEFF0"/>
      </patternFill>
    </fill>
    <fill>
      <patternFill patternType="solid">
        <fgColor rgb="FFB7DEE8"/>
        <bgColor rgb="FF99CCFF"/>
      </patternFill>
    </fill>
    <fill>
      <patternFill patternType="solid">
        <fgColor rgb="FFEFEFF0"/>
        <bgColor rgb="FFFDEADA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DEADA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1" fontId="0" fillId="0" borderId="4" xfId="0" applyNumberFormat="1" applyBorder="1">
      <alignment vertical="center"/>
    </xf>
    <xf numFmtId="0" fontId="0" fillId="0" borderId="7" xfId="0" applyBorder="1">
      <alignment vertical="center"/>
    </xf>
    <xf numFmtId="0" fontId="0" fillId="3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4" borderId="16" xfId="0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0" fillId="0" borderId="16" xfId="0" applyNumberFormat="1" applyBorder="1" applyAlignment="1">
      <alignment vertical="center" shrinkToFit="1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 shrinkToFit="1"/>
    </xf>
    <xf numFmtId="0" fontId="0" fillId="0" borderId="19" xfId="0" applyBorder="1" applyAlignment="1">
      <alignment horizontal="center" vertical="center"/>
    </xf>
    <xf numFmtId="176" fontId="0" fillId="0" borderId="19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176" fontId="0" fillId="6" borderId="16" xfId="0" applyNumberForma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5" borderId="19" xfId="0" applyFill="1" applyBorder="1" applyAlignment="1">
      <alignment horizontal="right" vertical="center"/>
    </xf>
    <xf numFmtId="176" fontId="0" fillId="6" borderId="19" xfId="0" applyNumberFormat="1" applyFill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21" xfId="0" applyNumberFormat="1" applyBorder="1" applyAlignment="1">
      <alignment horizontal="right"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7" borderId="4" xfId="0" applyFill="1" applyBorder="1">
      <alignment vertical="center"/>
    </xf>
    <xf numFmtId="0" fontId="0" fillId="7" borderId="7" xfId="0" applyFill="1" applyBorder="1">
      <alignment vertical="center"/>
    </xf>
    <xf numFmtId="0" fontId="0" fillId="0" borderId="15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6"/>
  <sheetViews>
    <sheetView tabSelected="1" zoomScaleNormal="100" workbookViewId="0"/>
  </sheetViews>
  <sheetFormatPr defaultRowHeight="13.25" x14ac:dyDescent="0.45"/>
  <cols>
    <col min="1" max="1" width="21.08984375"/>
    <col min="2" max="2" width="39.08984375"/>
    <col min="3" max="3" width="21.08984375"/>
    <col min="4" max="1025" width="10.36328125"/>
  </cols>
  <sheetData>
    <row r="2" spans="1:3" x14ac:dyDescent="0.45">
      <c r="A2" s="1" t="s">
        <v>0</v>
      </c>
    </row>
    <row r="3" spans="1:3" x14ac:dyDescent="0.45">
      <c r="A3" s="2"/>
      <c r="B3" s="2" t="s">
        <v>140</v>
      </c>
      <c r="C3" s="3">
        <f>0.001</f>
        <v>1E-3</v>
      </c>
    </row>
    <row r="4" spans="1:3" x14ac:dyDescent="0.45">
      <c r="A4" s="4"/>
      <c r="B4" s="4"/>
      <c r="C4" s="5"/>
    </row>
    <row r="5" spans="1:3" x14ac:dyDescent="0.45">
      <c r="A5" s="4"/>
      <c r="B5" s="4" t="s">
        <v>1</v>
      </c>
      <c r="C5" s="6">
        <f>10000000000000/1000000</f>
        <v>10000000</v>
      </c>
    </row>
    <row r="6" spans="1:3" x14ac:dyDescent="0.45">
      <c r="A6" s="4"/>
      <c r="B6" s="4"/>
      <c r="C6" s="5"/>
    </row>
    <row r="7" spans="1:3" x14ac:dyDescent="0.45">
      <c r="A7" s="4"/>
      <c r="B7" s="4" t="s">
        <v>150</v>
      </c>
      <c r="C7" s="5">
        <f>0</f>
        <v>0</v>
      </c>
    </row>
    <row r="8" spans="1:3" x14ac:dyDescent="0.45">
      <c r="A8" s="4"/>
      <c r="B8" s="4"/>
      <c r="C8" s="5"/>
    </row>
    <row r="9" spans="1:3" x14ac:dyDescent="0.45">
      <c r="A9" s="4"/>
      <c r="B9" s="4" t="s">
        <v>142</v>
      </c>
      <c r="C9" s="5">
        <v>3</v>
      </c>
    </row>
    <row r="10" spans="1:3" x14ac:dyDescent="0.45">
      <c r="A10" s="4"/>
      <c r="B10" s="4"/>
      <c r="C10" s="5"/>
    </row>
    <row r="11" spans="1:3" x14ac:dyDescent="0.45">
      <c r="A11" s="4"/>
      <c r="B11" s="4" t="s">
        <v>143</v>
      </c>
      <c r="C11" s="5">
        <f>0.03</f>
        <v>0.03</v>
      </c>
    </row>
    <row r="12" spans="1:3" x14ac:dyDescent="0.45">
      <c r="A12" s="4"/>
      <c r="B12" s="4"/>
      <c r="C12" s="5"/>
    </row>
    <row r="13" spans="1:3" x14ac:dyDescent="0.45">
      <c r="A13" s="4"/>
      <c r="B13" s="4" t="s">
        <v>151</v>
      </c>
      <c r="C13" s="5">
        <f>0</f>
        <v>0</v>
      </c>
    </row>
    <row r="14" spans="1:3" x14ac:dyDescent="0.45">
      <c r="A14" s="4"/>
      <c r="B14" s="4"/>
      <c r="C14" s="5"/>
    </row>
    <row r="15" spans="1:3" x14ac:dyDescent="0.45">
      <c r="A15" s="4"/>
      <c r="B15" s="4" t="s">
        <v>141</v>
      </c>
      <c r="C15" s="5">
        <v>0</v>
      </c>
    </row>
    <row r="16" spans="1:3" x14ac:dyDescent="0.45">
      <c r="A16" s="4"/>
      <c r="B16" s="4"/>
      <c r="C16" s="5"/>
    </row>
    <row r="17" spans="1:3" x14ac:dyDescent="0.45">
      <c r="A17" s="4"/>
      <c r="B17" s="4" t="s">
        <v>144</v>
      </c>
      <c r="C17" s="4">
        <f>0</f>
        <v>0</v>
      </c>
    </row>
    <row r="18" spans="1:3" x14ac:dyDescent="0.45">
      <c r="A18" s="4"/>
      <c r="B18" s="4"/>
      <c r="C18" s="4"/>
    </row>
    <row r="19" spans="1:3" x14ac:dyDescent="0.45">
      <c r="A19" s="4"/>
      <c r="B19" s="4" t="s">
        <v>2</v>
      </c>
      <c r="C19" s="4">
        <f>900</f>
        <v>900</v>
      </c>
    </row>
    <row r="20" spans="1:3" x14ac:dyDescent="0.45">
      <c r="A20" s="4"/>
      <c r="B20" s="4"/>
      <c r="C20" s="4"/>
    </row>
    <row r="21" spans="1:3" x14ac:dyDescent="0.45">
      <c r="A21" s="4"/>
      <c r="B21" s="4" t="s">
        <v>164</v>
      </c>
      <c r="C21" s="4">
        <f>-C9*2.5</f>
        <v>-7.5</v>
      </c>
    </row>
    <row r="22" spans="1:3" x14ac:dyDescent="0.45">
      <c r="A22" s="7"/>
      <c r="B22" s="7"/>
      <c r="C22" s="7"/>
    </row>
    <row r="23" spans="1:3" x14ac:dyDescent="0.45">
      <c r="A23" s="4"/>
      <c r="B23" s="4" t="s">
        <v>145</v>
      </c>
      <c r="C23" s="8">
        <f>SQRT(Sheet1!E9*parameter!C9*Sheet1!E7/(parameter!C5*1000000)/Sheet1!E9/Sheet1!E9)</f>
        <v>4.0717378927973202E-3</v>
      </c>
    </row>
    <row r="24" spans="1:3" x14ac:dyDescent="0.45">
      <c r="A24" s="4"/>
      <c r="B24" s="4"/>
      <c r="C24" s="4"/>
    </row>
    <row r="25" spans="1:3" x14ac:dyDescent="0.45">
      <c r="A25" s="4"/>
      <c r="B25" s="4" t="s">
        <v>146</v>
      </c>
      <c r="C25" s="4" t="e">
        <f>SQRT(Sheet1!E10*Sheet1!E9*parameter!C9)/Sheet1!E9/(parameter!C17*0.000000001)</f>
        <v>#DIV/0!</v>
      </c>
    </row>
    <row r="26" spans="1:3" x14ac:dyDescent="0.45">
      <c r="A26" s="4"/>
      <c r="B26" s="4"/>
      <c r="C26" s="4"/>
    </row>
    <row r="27" spans="1:3" x14ac:dyDescent="0.45">
      <c r="A27" s="4"/>
      <c r="B27" s="4" t="s">
        <v>147</v>
      </c>
      <c r="C27" s="4" t="e">
        <f>SQRT(Sheet1!E16*Sheet1!E9*C11)/Sheet1!E9/(parameter!C17*0.000000001)</f>
        <v>#DIV/0!</v>
      </c>
    </row>
    <row r="28" spans="1:3" x14ac:dyDescent="0.45">
      <c r="A28" s="4"/>
      <c r="B28" s="4"/>
      <c r="C28" s="4"/>
    </row>
    <row r="29" spans="1:3" x14ac:dyDescent="0.45">
      <c r="A29" s="4"/>
      <c r="B29" s="4" t="s">
        <v>148</v>
      </c>
      <c r="C29" s="4">
        <f>SQRT(Sheet1!E9*parameter!C9/Sheet1!E16)/1000</f>
        <v>24.213083319429106</v>
      </c>
    </row>
    <row r="30" spans="1:3" x14ac:dyDescent="0.45">
      <c r="A30" s="4"/>
      <c r="B30" s="4" t="s">
        <v>3</v>
      </c>
      <c r="C30" s="4">
        <f>C15/C29</f>
        <v>0</v>
      </c>
    </row>
    <row r="31" spans="1:3" x14ac:dyDescent="0.45">
      <c r="A31" s="4"/>
      <c r="B31" s="4"/>
      <c r="C31" s="4"/>
    </row>
    <row r="32" spans="1:3" x14ac:dyDescent="0.45">
      <c r="A32" s="4"/>
      <c r="B32" s="4" t="s">
        <v>149</v>
      </c>
      <c r="C32" s="4">
        <f>SQRT((Sheet1!E9*parameter!C9+Sheet1!E9*parameter!C11)/Sheet1!E16)/1000</f>
        <v>24.333847576409948</v>
      </c>
    </row>
    <row r="33" spans="1:3" x14ac:dyDescent="0.45">
      <c r="A33" s="9"/>
      <c r="B33" s="9" t="s">
        <v>4</v>
      </c>
      <c r="C33" s="9">
        <v>1</v>
      </c>
    </row>
    <row r="35" spans="1:3" x14ac:dyDescent="0.45">
      <c r="A35" s="10" t="s">
        <v>5</v>
      </c>
    </row>
    <row r="36" spans="1:3" x14ac:dyDescent="0.45">
      <c r="A36" s="11" t="s">
        <v>6</v>
      </c>
      <c r="B36" s="2" t="s">
        <v>7</v>
      </c>
      <c r="C36" s="55">
        <f>Sheet1!N2</f>
        <v>0.59507380696261847</v>
      </c>
    </row>
    <row r="37" spans="1:3" x14ac:dyDescent="0.45">
      <c r="A37" s="12"/>
      <c r="B37" s="4" t="s">
        <v>8</v>
      </c>
      <c r="C37" s="56">
        <f>Sheet1!N6</f>
        <v>1.9835793565420617E-2</v>
      </c>
    </row>
    <row r="38" spans="1:3" x14ac:dyDescent="0.45">
      <c r="A38" s="12"/>
      <c r="B38" s="4" t="s">
        <v>9</v>
      </c>
      <c r="C38" s="56">
        <f>-Sheet1!N28</f>
        <v>0</v>
      </c>
    </row>
    <row r="39" spans="1:3" x14ac:dyDescent="0.45">
      <c r="A39" s="12"/>
      <c r="B39" s="4"/>
      <c r="C39" s="56"/>
    </row>
    <row r="40" spans="1:3" x14ac:dyDescent="0.45">
      <c r="A40" s="12" t="s">
        <v>10</v>
      </c>
      <c r="B40" s="4" t="s">
        <v>11</v>
      </c>
      <c r="C40" s="56">
        <f>-1</f>
        <v>-1</v>
      </c>
    </row>
    <row r="41" spans="1:3" x14ac:dyDescent="0.45">
      <c r="A41" s="12"/>
      <c r="B41" s="4" t="s">
        <v>12</v>
      </c>
      <c r="C41" s="56">
        <f>-C40/C19</f>
        <v>1.1111111111111111E-3</v>
      </c>
    </row>
    <row r="42" spans="1:3" x14ac:dyDescent="0.45">
      <c r="A42" s="12"/>
      <c r="B42" s="58" t="s">
        <v>154</v>
      </c>
      <c r="C42" s="56">
        <f>-1</f>
        <v>-1</v>
      </c>
    </row>
    <row r="43" spans="1:3" x14ac:dyDescent="0.45">
      <c r="A43" s="12"/>
      <c r="B43" s="4" t="s">
        <v>13</v>
      </c>
      <c r="C43" s="56">
        <f>Sheet1!N10</f>
        <v>2.4229845688208518</v>
      </c>
    </row>
    <row r="44" spans="1:3" x14ac:dyDescent="0.45">
      <c r="A44" s="12"/>
      <c r="B44" s="4" t="s">
        <v>14</v>
      </c>
      <c r="C44" s="56">
        <f>C43</f>
        <v>2.4229845688208518</v>
      </c>
    </row>
    <row r="45" spans="1:3" x14ac:dyDescent="0.45">
      <c r="A45" s="12"/>
      <c r="B45" s="4" t="s">
        <v>161</v>
      </c>
      <c r="C45" s="56">
        <f>Sheet1!N19</f>
        <v>0</v>
      </c>
    </row>
    <row r="46" spans="1:3" x14ac:dyDescent="0.45">
      <c r="A46" s="12"/>
      <c r="B46" s="4" t="s">
        <v>15</v>
      </c>
      <c r="C46" s="56">
        <f>Sheet1!N13</f>
        <v>8.0766152294028375E-3</v>
      </c>
    </row>
    <row r="47" spans="1:3" x14ac:dyDescent="0.45">
      <c r="A47" s="12"/>
      <c r="B47" s="4" t="s">
        <v>16</v>
      </c>
      <c r="C47" s="56">
        <f>C46</f>
        <v>8.0766152294028375E-3</v>
      </c>
    </row>
    <row r="48" spans="1:3" x14ac:dyDescent="0.45">
      <c r="A48" s="12"/>
      <c r="B48" s="4" t="s">
        <v>162</v>
      </c>
      <c r="C48" s="56">
        <f>Sheet1!N19</f>
        <v>0</v>
      </c>
    </row>
    <row r="49" spans="1:3" x14ac:dyDescent="0.45">
      <c r="A49" s="12"/>
      <c r="B49" s="58" t="s">
        <v>155</v>
      </c>
      <c r="C49" s="56">
        <f>Sheet1!N16</f>
        <v>0</v>
      </c>
    </row>
    <row r="50" spans="1:3" x14ac:dyDescent="0.45">
      <c r="A50" s="12"/>
      <c r="B50" s="58" t="s">
        <v>156</v>
      </c>
      <c r="C50" s="56">
        <f>Sheet1!N16</f>
        <v>0</v>
      </c>
    </row>
    <row r="51" spans="1:3" x14ac:dyDescent="0.45">
      <c r="A51" s="12"/>
      <c r="B51" s="58" t="s">
        <v>163</v>
      </c>
      <c r="C51" s="56">
        <f>0</f>
        <v>0</v>
      </c>
    </row>
    <row r="52" spans="1:3" x14ac:dyDescent="0.45">
      <c r="A52" s="12"/>
      <c r="B52" s="58"/>
      <c r="C52" s="56"/>
    </row>
    <row r="53" spans="1:3" x14ac:dyDescent="0.45">
      <c r="A53" s="12" t="s">
        <v>158</v>
      </c>
      <c r="B53" s="58" t="s">
        <v>157</v>
      </c>
      <c r="C53" s="56">
        <f>Sheet1!N24</f>
        <v>0</v>
      </c>
    </row>
    <row r="54" spans="1:3" x14ac:dyDescent="0.45">
      <c r="A54" s="12"/>
      <c r="B54" s="58"/>
      <c r="C54" s="56"/>
    </row>
    <row r="55" spans="1:3" x14ac:dyDescent="0.45">
      <c r="A55" s="12" t="s">
        <v>159</v>
      </c>
      <c r="B55" s="58" t="s">
        <v>160</v>
      </c>
      <c r="C55" s="56">
        <f>C21*Sheet1!G35</f>
        <v>-14.677135551859921</v>
      </c>
    </row>
    <row r="56" spans="1:3" x14ac:dyDescent="0.45">
      <c r="A56" s="13"/>
      <c r="B56" s="59"/>
      <c r="C56" s="57"/>
    </row>
  </sheetData>
  <phoneticPr fontId="5"/>
  <pageMargins left="0.78680555555555598" right="0.786805555555555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Normal="100" workbookViewId="0">
      <selection activeCell="F7" sqref="F7"/>
    </sheetView>
  </sheetViews>
  <sheetFormatPr defaultRowHeight="13.25" x14ac:dyDescent="0.45"/>
  <cols>
    <col min="1" max="1" width="13.36328125"/>
    <col min="2" max="2" width="26.36328125"/>
    <col min="3" max="4" width="8" style="14"/>
    <col min="5" max="7" width="20.90625" style="15"/>
    <col min="8" max="8" width="26" style="14"/>
    <col min="9" max="9" width="11.1796875" style="14"/>
    <col min="10" max="10" width="8"/>
    <col min="11" max="11" width="10.36328125"/>
    <col min="12" max="15" width="21.54296875"/>
    <col min="16" max="20" width="11.1796875"/>
    <col min="21" max="21" width="10.36328125"/>
    <col min="22" max="25" width="11.1796875"/>
    <col min="26" max="1025" width="10.36328125"/>
  </cols>
  <sheetData>
    <row r="1" spans="1:24" ht="15.9" customHeight="1" x14ac:dyDescent="0.45">
      <c r="A1" s="16"/>
      <c r="B1" s="17"/>
      <c r="C1" s="18"/>
      <c r="D1" s="18"/>
      <c r="E1" s="19" t="s">
        <v>17</v>
      </c>
      <c r="F1" s="19" t="s">
        <v>18</v>
      </c>
      <c r="G1" s="20" t="s">
        <v>19</v>
      </c>
      <c r="H1" s="18"/>
      <c r="I1" s="18"/>
      <c r="J1" s="21"/>
    </row>
    <row r="2" spans="1:24" ht="15.9" customHeight="1" x14ac:dyDescent="0.45">
      <c r="A2" s="22"/>
      <c r="B2" s="23"/>
      <c r="C2" s="24"/>
      <c r="D2" s="24"/>
      <c r="E2" s="25"/>
      <c r="F2" s="25"/>
      <c r="G2" s="25"/>
      <c r="H2" s="24"/>
      <c r="I2" s="24"/>
      <c r="J2" s="26"/>
      <c r="K2" t="s">
        <v>20</v>
      </c>
      <c r="L2" s="27">
        <f>parameter!C5*1000000</f>
        <v>10000000000000</v>
      </c>
      <c r="M2">
        <f>SQRT(L2*E9*E9/E10/E7)</f>
        <v>178398639.28074092</v>
      </c>
      <c r="N2" s="28">
        <f>M2*G21</f>
        <v>0.59507380696261847</v>
      </c>
    </row>
    <row r="3" spans="1:24" ht="15.9" customHeight="1" x14ac:dyDescent="0.45">
      <c r="A3" s="60" t="s">
        <v>21</v>
      </c>
      <c r="B3" s="23" t="s">
        <v>22</v>
      </c>
      <c r="C3" s="29" t="s">
        <v>23</v>
      </c>
      <c r="D3" s="24" t="s">
        <v>24</v>
      </c>
      <c r="E3" s="25">
        <v>3.1415926540000001</v>
      </c>
      <c r="F3" s="25">
        <f>E3</f>
        <v>3.1415926540000001</v>
      </c>
      <c r="G3" s="25"/>
      <c r="H3" s="24"/>
      <c r="I3" s="24"/>
      <c r="J3" s="30" t="s">
        <v>23</v>
      </c>
      <c r="L3" s="27"/>
      <c r="M3">
        <f>SQRT(L3*E9*E9/E10/E7)</f>
        <v>0</v>
      </c>
      <c r="N3" s="28">
        <f>M3*G21</f>
        <v>0</v>
      </c>
    </row>
    <row r="4" spans="1:24" ht="15.9" customHeight="1" x14ac:dyDescent="0.45">
      <c r="A4" s="60"/>
      <c r="B4" s="23" t="s">
        <v>25</v>
      </c>
      <c r="C4" s="24" t="s">
        <v>26</v>
      </c>
      <c r="D4" s="24" t="s">
        <v>24</v>
      </c>
      <c r="E4" s="25">
        <v>2.7182818279999998</v>
      </c>
      <c r="F4" s="25">
        <f>E4</f>
        <v>2.7182818279999998</v>
      </c>
      <c r="G4" s="25"/>
      <c r="H4" s="24"/>
      <c r="I4" s="24"/>
      <c r="J4" s="26" t="s">
        <v>26</v>
      </c>
      <c r="L4" s="27"/>
      <c r="M4">
        <f>SQRT(L4*E9*E9/E10/E7)</f>
        <v>0</v>
      </c>
      <c r="N4" s="28">
        <f>M4*G21</f>
        <v>0</v>
      </c>
      <c r="X4" s="28"/>
    </row>
    <row r="5" spans="1:24" ht="15.9" customHeight="1" x14ac:dyDescent="0.45">
      <c r="A5" s="22"/>
      <c r="B5" s="23"/>
      <c r="C5" s="24"/>
      <c r="D5" s="24"/>
      <c r="E5" s="25"/>
      <c r="F5" s="25"/>
      <c r="G5" s="25"/>
      <c r="H5" s="24"/>
      <c r="I5" s="24"/>
      <c r="J5" s="26"/>
    </row>
    <row r="6" spans="1:24" ht="15.9" customHeight="1" x14ac:dyDescent="0.45">
      <c r="A6" s="60" t="s">
        <v>27</v>
      </c>
      <c r="B6" s="23" t="s">
        <v>28</v>
      </c>
      <c r="C6" s="24" t="s">
        <v>29</v>
      </c>
      <c r="D6" s="24"/>
      <c r="E6" s="25">
        <v>299792458</v>
      </c>
      <c r="F6" s="31">
        <v>1000</v>
      </c>
      <c r="G6" s="25"/>
      <c r="H6" s="24"/>
      <c r="I6" s="24"/>
      <c r="J6" s="26" t="s">
        <v>29</v>
      </c>
      <c r="K6" t="s">
        <v>30</v>
      </c>
      <c r="L6" s="27">
        <f>parameter!C5*1000000</f>
        <v>10000000000000</v>
      </c>
      <c r="M6">
        <f>SQRT(L6*E9*E9/E16/E7)</f>
        <v>5946621.3093580306</v>
      </c>
      <c r="N6" s="28">
        <f>M6*G21</f>
        <v>1.9835793565420617E-2</v>
      </c>
    </row>
    <row r="7" spans="1:24" ht="15.9" customHeight="1" x14ac:dyDescent="0.45">
      <c r="A7" s="60"/>
      <c r="B7" s="23" t="s">
        <v>31</v>
      </c>
      <c r="C7" s="32" t="s">
        <v>32</v>
      </c>
      <c r="D7" s="24"/>
      <c r="E7" s="25">
        <f>1/E8/E6/E6</f>
        <v>8.8541878164642734E-12</v>
      </c>
      <c r="F7" s="31">
        <v>1</v>
      </c>
      <c r="G7" s="25"/>
      <c r="H7" s="24"/>
      <c r="I7" s="24"/>
      <c r="J7" s="33" t="s">
        <v>32</v>
      </c>
      <c r="L7" s="27"/>
      <c r="M7">
        <f>SQRT(L7*E9*E9/E16/E7)</f>
        <v>0</v>
      </c>
      <c r="N7" s="28">
        <f>M7*G21</f>
        <v>0</v>
      </c>
      <c r="S7" s="28"/>
      <c r="X7" s="28"/>
    </row>
    <row r="8" spans="1:24" ht="15.9" customHeight="1" x14ac:dyDescent="0.45">
      <c r="A8" s="60"/>
      <c r="B8" s="23" t="s">
        <v>33</v>
      </c>
      <c r="C8" s="32" t="s">
        <v>34</v>
      </c>
      <c r="D8" s="24"/>
      <c r="E8" s="25">
        <f>4*E3*0.0000001</f>
        <v>1.2566370616000001E-6</v>
      </c>
      <c r="F8" s="25">
        <f>E8*G40</f>
        <v>9.9999999999999995E-7</v>
      </c>
      <c r="G8" s="25"/>
      <c r="H8" s="24"/>
      <c r="I8" s="24"/>
      <c r="J8" s="33" t="s">
        <v>34</v>
      </c>
      <c r="L8" s="27"/>
      <c r="M8">
        <f>SQRT(L8*E9*E9/E16/E7)</f>
        <v>0</v>
      </c>
      <c r="N8" s="28">
        <f>M8*G21</f>
        <v>0</v>
      </c>
      <c r="S8" s="28"/>
      <c r="X8" s="28"/>
    </row>
    <row r="9" spans="1:24" ht="15.9" customHeight="1" x14ac:dyDescent="0.45">
      <c r="A9" s="60"/>
      <c r="B9" s="23" t="s">
        <v>35</v>
      </c>
      <c r="C9" s="32" t="s">
        <v>36</v>
      </c>
      <c r="D9" s="24"/>
      <c r="E9" s="25">
        <v>1.6021765E-19</v>
      </c>
      <c r="F9" s="25">
        <f>E9*G30</f>
        <v>3.5411283573298378E-5</v>
      </c>
      <c r="G9" s="25"/>
      <c r="H9" s="24"/>
      <c r="I9" s="24"/>
      <c r="J9" s="33" t="s">
        <v>36</v>
      </c>
      <c r="N9" s="28"/>
      <c r="S9" s="28"/>
      <c r="X9" s="28"/>
    </row>
    <row r="10" spans="1:24" ht="15.9" customHeight="1" x14ac:dyDescent="0.45">
      <c r="A10" s="60"/>
      <c r="B10" s="23" t="s">
        <v>37</v>
      </c>
      <c r="C10" s="32" t="s">
        <v>38</v>
      </c>
      <c r="D10" s="24"/>
      <c r="E10" s="25">
        <v>9.1093818999999997E-31</v>
      </c>
      <c r="F10" s="25">
        <f>E10*G19</f>
        <v>3.5411283573298378E-5</v>
      </c>
      <c r="G10" s="25"/>
      <c r="H10" s="24"/>
      <c r="I10" s="24"/>
      <c r="J10" s="26" t="s">
        <v>39</v>
      </c>
      <c r="K10" t="s">
        <v>40</v>
      </c>
      <c r="L10" s="27">
        <f>parameter!C9</f>
        <v>3</v>
      </c>
      <c r="M10">
        <f>SQRT(1*L10*E9/E10)</f>
        <v>726392.49958287331</v>
      </c>
      <c r="N10" s="28">
        <f>M10*G22</f>
        <v>2.4229845688208518</v>
      </c>
      <c r="O10" s="28"/>
      <c r="V10" s="28"/>
    </row>
    <row r="11" spans="1:24" ht="15.9" customHeight="1" x14ac:dyDescent="0.45">
      <c r="A11" s="60"/>
      <c r="B11" s="23" t="s">
        <v>41</v>
      </c>
      <c r="C11" s="32" t="s">
        <v>42</v>
      </c>
      <c r="D11" s="24"/>
      <c r="E11" s="25">
        <v>1.6726099999999999E-27</v>
      </c>
      <c r="F11" s="25">
        <f>E11*G19</f>
        <v>6.5020072347098098E-2</v>
      </c>
      <c r="G11" s="25"/>
      <c r="H11" s="24"/>
      <c r="I11" s="24"/>
      <c r="J11" s="33" t="s">
        <v>42</v>
      </c>
      <c r="L11" s="27"/>
      <c r="M11">
        <f>SQRT(1*L11*E9/E10)</f>
        <v>0</v>
      </c>
      <c r="N11" s="28">
        <f>M11*G22</f>
        <v>0</v>
      </c>
      <c r="S11" s="28"/>
      <c r="X11" s="28"/>
    </row>
    <row r="12" spans="1:24" ht="15.9" customHeight="1" x14ac:dyDescent="0.45">
      <c r="A12" s="60"/>
      <c r="B12" s="34" t="s">
        <v>43</v>
      </c>
      <c r="C12" s="32" t="s">
        <v>44</v>
      </c>
      <c r="D12" s="24"/>
      <c r="E12" s="25">
        <f>-E9/E10</f>
        <v>-175882021150.08484</v>
      </c>
      <c r="F12" s="31">
        <v>-1</v>
      </c>
      <c r="G12" s="25"/>
      <c r="H12" s="24"/>
      <c r="I12" s="24"/>
      <c r="J12" s="33" t="s">
        <v>44</v>
      </c>
      <c r="N12" s="28"/>
      <c r="S12" s="28"/>
      <c r="X12" s="28"/>
    </row>
    <row r="13" spans="1:24" ht="15.9" customHeight="1" x14ac:dyDescent="0.45">
      <c r="A13" s="60"/>
      <c r="B13" s="23" t="s">
        <v>45</v>
      </c>
      <c r="C13" s="32" t="s">
        <v>46</v>
      </c>
      <c r="D13" s="24"/>
      <c r="E13" s="25">
        <v>1.38065052E-23</v>
      </c>
      <c r="F13" s="25">
        <f>E13*G13</f>
        <v>1.38065052E-23</v>
      </c>
      <c r="G13" s="25">
        <v>1</v>
      </c>
      <c r="H13" s="24"/>
      <c r="I13" s="24"/>
      <c r="J13" s="33" t="s">
        <v>46</v>
      </c>
      <c r="K13" t="s">
        <v>47</v>
      </c>
      <c r="L13" s="27">
        <f>parameter!C11</f>
        <v>0.03</v>
      </c>
      <c r="M13">
        <f>SQRT(1*L13*E9/E16)</f>
        <v>2421.3083319429106</v>
      </c>
      <c r="N13" s="28">
        <f>M13*G22</f>
        <v>8.0766152294028375E-3</v>
      </c>
      <c r="S13" s="28"/>
      <c r="X13" s="28"/>
    </row>
    <row r="14" spans="1:24" ht="15.9" customHeight="1" x14ac:dyDescent="0.45">
      <c r="A14" s="22"/>
      <c r="B14" s="23"/>
      <c r="C14" s="24"/>
      <c r="D14" s="24"/>
      <c r="E14" s="25"/>
      <c r="F14" s="25"/>
      <c r="G14" s="25"/>
      <c r="H14" s="24"/>
      <c r="I14" s="24"/>
      <c r="J14" s="26"/>
      <c r="L14" s="27"/>
      <c r="M14">
        <f>SQRT(1*L14*E9/E16)</f>
        <v>0</v>
      </c>
      <c r="N14" s="28">
        <f>M14*G22</f>
        <v>0</v>
      </c>
      <c r="S14" s="28"/>
      <c r="X14" s="28"/>
    </row>
    <row r="15" spans="1:24" ht="15.9" customHeight="1" x14ac:dyDescent="0.45">
      <c r="A15" s="35" t="s">
        <v>48</v>
      </c>
      <c r="B15" s="36" t="s">
        <v>49</v>
      </c>
      <c r="C15" s="37" t="s">
        <v>50</v>
      </c>
      <c r="D15" s="37" t="s">
        <v>51</v>
      </c>
      <c r="E15" s="38">
        <f>F15/G15</f>
        <v>1E-3</v>
      </c>
      <c r="F15" s="39">
        <v>1</v>
      </c>
      <c r="G15" s="40">
        <f>Sheet1!F15/parameter!C3</f>
        <v>1000</v>
      </c>
      <c r="H15" s="37"/>
      <c r="I15" s="37"/>
      <c r="J15" s="41" t="s">
        <v>50</v>
      </c>
      <c r="N15" s="28"/>
      <c r="S15" s="28"/>
      <c r="X15" s="28"/>
    </row>
    <row r="16" spans="1:24" ht="15.9" customHeight="1" x14ac:dyDescent="0.45">
      <c r="C16"/>
      <c r="D16"/>
      <c r="E16" s="42">
        <f>E10*parameter!C19</f>
        <v>8.1984437099999996E-28</v>
      </c>
      <c r="F16"/>
      <c r="G16"/>
      <c r="H16"/>
      <c r="I16"/>
      <c r="K16" t="s">
        <v>152</v>
      </c>
      <c r="L16" s="27">
        <f>parameter!C13</f>
        <v>0</v>
      </c>
      <c r="M16">
        <f>SQRT(1*L16*E9/E10)</f>
        <v>0</v>
      </c>
      <c r="N16" s="28">
        <f>M16*G22</f>
        <v>0</v>
      </c>
      <c r="S16" s="28"/>
      <c r="X16" s="28"/>
    </row>
    <row r="17" spans="1:24" ht="15.9" customHeight="1" x14ac:dyDescent="0.45">
      <c r="C17"/>
      <c r="D17"/>
      <c r="E17" s="42">
        <f>15.9994*E11</f>
        <v>2.6760756433999998E-26</v>
      </c>
      <c r="F17"/>
      <c r="G17" s="28">
        <f>E11/E10</f>
        <v>1836.1399471022287</v>
      </c>
      <c r="H17"/>
      <c r="I17"/>
      <c r="L17" s="27"/>
      <c r="M17">
        <f>SQRT(1*L17*E9/E10)</f>
        <v>0</v>
      </c>
      <c r="N17" s="28">
        <f>M17*G22</f>
        <v>0</v>
      </c>
    </row>
    <row r="18" spans="1:24" ht="15.9" customHeight="1" x14ac:dyDescent="0.45">
      <c r="A18" s="16"/>
      <c r="B18" s="17"/>
      <c r="C18" s="18"/>
      <c r="D18" s="18"/>
      <c r="E18" s="19" t="s">
        <v>17</v>
      </c>
      <c r="F18" s="19" t="s">
        <v>18</v>
      </c>
      <c r="G18" s="20" t="s">
        <v>19</v>
      </c>
      <c r="H18" s="18"/>
      <c r="I18" s="18"/>
      <c r="J18" s="21"/>
      <c r="L18" s="28"/>
      <c r="N18" s="28"/>
      <c r="Q18" s="28"/>
      <c r="S18" s="28"/>
      <c r="V18" s="28"/>
      <c r="X18" s="28"/>
    </row>
    <row r="19" spans="1:24" ht="15.9" customHeight="1" x14ac:dyDescent="0.45">
      <c r="A19" s="22" t="s">
        <v>52</v>
      </c>
      <c r="B19" s="23" t="s">
        <v>53</v>
      </c>
      <c r="C19" s="24" t="s">
        <v>51</v>
      </c>
      <c r="D19" s="24" t="s">
        <v>54</v>
      </c>
      <c r="E19" s="43"/>
      <c r="F19" s="44">
        <f t="shared" ref="F19:F43" si="0">E19*G19</f>
        <v>0</v>
      </c>
      <c r="G19" s="25">
        <f>G29/G32/G32*G15*G22*G22</f>
        <v>3.8873420789722712E+25</v>
      </c>
      <c r="H19" s="24" t="s">
        <v>55</v>
      </c>
      <c r="I19" s="24"/>
      <c r="J19" s="26" t="s">
        <v>51</v>
      </c>
      <c r="K19" t="s">
        <v>56</v>
      </c>
      <c r="L19" s="28"/>
      <c r="M19">
        <f>parameter!C15*1000</f>
        <v>0</v>
      </c>
      <c r="N19" s="28">
        <f>M19*G22</f>
        <v>0</v>
      </c>
      <c r="Q19" s="28"/>
      <c r="S19" s="28"/>
      <c r="V19" s="28"/>
      <c r="X19" s="28"/>
    </row>
    <row r="20" spans="1:24" ht="15.9" customHeight="1" x14ac:dyDescent="0.45">
      <c r="A20" s="22"/>
      <c r="B20" s="23" t="s">
        <v>57</v>
      </c>
      <c r="C20" s="24" t="s">
        <v>39</v>
      </c>
      <c r="D20" s="24" t="s">
        <v>58</v>
      </c>
      <c r="E20" s="43"/>
      <c r="F20" s="44">
        <f t="shared" si="0"/>
        <v>0</v>
      </c>
      <c r="G20" s="25">
        <f>G15/G22</f>
        <v>299792458</v>
      </c>
      <c r="H20" s="24" t="s">
        <v>59</v>
      </c>
      <c r="I20" s="24"/>
      <c r="J20" s="26" t="s">
        <v>39</v>
      </c>
      <c r="L20" s="28"/>
      <c r="M20">
        <f>400*1000</f>
        <v>400000</v>
      </c>
      <c r="N20" s="28">
        <f>M20*G22</f>
        <v>1.3342563807926082</v>
      </c>
      <c r="Q20" s="28"/>
      <c r="S20" s="28"/>
      <c r="V20" s="28"/>
      <c r="X20" s="28"/>
    </row>
    <row r="21" spans="1:24" ht="15.9" customHeight="1" x14ac:dyDescent="0.45">
      <c r="A21" s="22"/>
      <c r="B21" s="23" t="s">
        <v>60</v>
      </c>
      <c r="C21" s="24" t="s">
        <v>61</v>
      </c>
      <c r="D21" s="24" t="s">
        <v>62</v>
      </c>
      <c r="E21" s="43"/>
      <c r="F21" s="44">
        <f t="shared" si="0"/>
        <v>0</v>
      </c>
      <c r="G21" s="25">
        <f>1/G20</f>
        <v>3.3356409519815204E-9</v>
      </c>
      <c r="H21" s="24" t="s">
        <v>63</v>
      </c>
      <c r="I21" s="24"/>
      <c r="J21" s="26" t="s">
        <v>61</v>
      </c>
      <c r="N21" s="28">
        <f>M21*G22</f>
        <v>0</v>
      </c>
    </row>
    <row r="22" spans="1:24" ht="15.9" customHeight="1" x14ac:dyDescent="0.45">
      <c r="A22" s="22"/>
      <c r="B22" s="23" t="s">
        <v>64</v>
      </c>
      <c r="C22" s="24" t="s">
        <v>65</v>
      </c>
      <c r="D22" s="45" t="s">
        <v>66</v>
      </c>
      <c r="E22" s="43"/>
      <c r="F22" s="44">
        <f t="shared" si="0"/>
        <v>0</v>
      </c>
      <c r="G22" s="46">
        <f>F6/E6</f>
        <v>3.3356409519815205E-6</v>
      </c>
      <c r="H22" s="24" t="s">
        <v>65</v>
      </c>
      <c r="I22" s="24"/>
      <c r="J22" s="26" t="s">
        <v>65</v>
      </c>
      <c r="N22" s="28"/>
      <c r="S22" s="28"/>
      <c r="X22" s="28"/>
    </row>
    <row r="23" spans="1:24" ht="15.9" customHeight="1" x14ac:dyDescent="0.45">
      <c r="A23" s="22"/>
      <c r="B23" s="23" t="s">
        <v>67</v>
      </c>
      <c r="C23" s="24" t="s">
        <v>68</v>
      </c>
      <c r="D23" s="45" t="s">
        <v>69</v>
      </c>
      <c r="E23" s="43"/>
      <c r="F23" s="44">
        <f t="shared" si="0"/>
        <v>0</v>
      </c>
      <c r="G23" s="25">
        <f>1/G15/G15/G15</f>
        <v>9.9999999999999986E-10</v>
      </c>
      <c r="H23" s="24" t="s">
        <v>70</v>
      </c>
      <c r="I23" s="24"/>
      <c r="J23" s="26" t="s">
        <v>68</v>
      </c>
      <c r="N23" s="28"/>
    </row>
    <row r="24" spans="1:24" ht="15.9" customHeight="1" x14ac:dyDescent="0.45">
      <c r="A24" s="22"/>
      <c r="B24" s="23" t="s">
        <v>71</v>
      </c>
      <c r="C24" s="24" t="s">
        <v>72</v>
      </c>
      <c r="D24" s="45" t="s">
        <v>73</v>
      </c>
      <c r="E24" s="43"/>
      <c r="F24" s="44">
        <f t="shared" si="0"/>
        <v>0</v>
      </c>
      <c r="G24" s="25">
        <f>G22*G23</f>
        <v>3.3356409519815201E-15</v>
      </c>
      <c r="H24" s="24" t="s">
        <v>74</v>
      </c>
      <c r="I24" s="24"/>
      <c r="J24" s="26" t="s">
        <v>72</v>
      </c>
      <c r="K24" t="s">
        <v>153</v>
      </c>
      <c r="L24" s="27">
        <f>parameter!C7*0.000001</f>
        <v>0</v>
      </c>
      <c r="N24" s="28">
        <f>L24*G34</f>
        <v>0</v>
      </c>
      <c r="Q24" s="27"/>
      <c r="S24" s="28"/>
      <c r="V24" s="27"/>
      <c r="X24" s="28"/>
    </row>
    <row r="25" spans="1:24" ht="15.9" customHeight="1" x14ac:dyDescent="0.45">
      <c r="A25" s="22"/>
      <c r="B25" s="23" t="s">
        <v>75</v>
      </c>
      <c r="C25" s="24" t="s">
        <v>76</v>
      </c>
      <c r="D25" s="24" t="s">
        <v>72</v>
      </c>
      <c r="E25" s="43"/>
      <c r="F25" s="44">
        <f t="shared" si="0"/>
        <v>0</v>
      </c>
      <c r="G25" s="25">
        <f>G22*G22*G22*G22*G29/G32/G32</f>
        <v>432525138206.80878</v>
      </c>
      <c r="H25" s="24" t="s">
        <v>77</v>
      </c>
      <c r="I25" s="24"/>
      <c r="J25" s="26" t="s">
        <v>76</v>
      </c>
      <c r="L25" s="27"/>
      <c r="M25" s="28"/>
      <c r="N25" s="28"/>
      <c r="Q25" s="27"/>
      <c r="R25" s="28"/>
      <c r="S25" s="28"/>
      <c r="V25" s="27"/>
      <c r="W25" s="28"/>
      <c r="X25" s="28"/>
    </row>
    <row r="26" spans="1:24" ht="15.9" customHeight="1" x14ac:dyDescent="0.45">
      <c r="A26" s="22"/>
      <c r="B26" s="23" t="s">
        <v>78</v>
      </c>
      <c r="C26" s="24" t="s">
        <v>79</v>
      </c>
      <c r="D26" s="24" t="s">
        <v>80</v>
      </c>
      <c r="E26" s="43"/>
      <c r="F26" s="44">
        <f t="shared" si="0"/>
        <v>0</v>
      </c>
      <c r="G26" s="25">
        <f>G29/G32/G32*G22*G22*G22*G22*G22</f>
        <v>1442748.5637640981</v>
      </c>
      <c r="H26" s="24" t="s">
        <v>81</v>
      </c>
      <c r="I26" s="24"/>
      <c r="J26" s="26" t="s">
        <v>79</v>
      </c>
    </row>
    <row r="27" spans="1:24" ht="15.9" customHeight="1" x14ac:dyDescent="0.45">
      <c r="A27" s="22"/>
      <c r="B27" s="23" t="s">
        <v>82</v>
      </c>
      <c r="C27" s="24" t="s">
        <v>80</v>
      </c>
      <c r="D27" s="24" t="s">
        <v>83</v>
      </c>
      <c r="E27" s="43"/>
      <c r="F27" s="44">
        <f t="shared" si="0"/>
        <v>0</v>
      </c>
      <c r="G27" s="25">
        <f>G29/G32/G32*G15*G22*G22*G22*G22</f>
        <v>432525138206808.69</v>
      </c>
      <c r="H27" s="24" t="s">
        <v>84</v>
      </c>
      <c r="I27" s="24"/>
      <c r="J27" s="26" t="s">
        <v>80</v>
      </c>
    </row>
    <row r="28" spans="1:24" ht="15.9" customHeight="1" x14ac:dyDescent="0.45">
      <c r="A28" s="22"/>
      <c r="B28" s="23" t="s">
        <v>85</v>
      </c>
      <c r="C28" s="24" t="s">
        <v>86</v>
      </c>
      <c r="D28" s="45" t="s">
        <v>87</v>
      </c>
      <c r="E28" s="43"/>
      <c r="F28" s="44">
        <f t="shared" si="0"/>
        <v>0</v>
      </c>
      <c r="G28" s="25">
        <f>G29/G32/G32*G22*G22*G22*G22/G15/G15</f>
        <v>432525.13820680871</v>
      </c>
      <c r="H28" s="24" t="s">
        <v>88</v>
      </c>
      <c r="I28" s="24"/>
      <c r="J28" s="26" t="s">
        <v>86</v>
      </c>
      <c r="K28" t="s">
        <v>89</v>
      </c>
      <c r="L28" s="27">
        <f>parameter!C17*0.000000001</f>
        <v>0</v>
      </c>
      <c r="M28" s="28">
        <f>E9*L28/E10</f>
        <v>0</v>
      </c>
      <c r="N28" s="28">
        <f>M28*G21</f>
        <v>0</v>
      </c>
      <c r="O28" s="28"/>
      <c r="S28" s="28"/>
      <c r="X28" s="28"/>
    </row>
    <row r="29" spans="1:24" ht="15.9" customHeight="1" x14ac:dyDescent="0.45">
      <c r="A29" s="22"/>
      <c r="B29" s="23" t="s">
        <v>90</v>
      </c>
      <c r="C29" s="29" t="s">
        <v>26</v>
      </c>
      <c r="D29" s="45" t="s">
        <v>91</v>
      </c>
      <c r="E29" s="43"/>
      <c r="F29" s="44">
        <f t="shared" si="0"/>
        <v>0</v>
      </c>
      <c r="G29" s="46">
        <f>F7/E7</f>
        <v>112940906690.56172</v>
      </c>
      <c r="H29" s="29" t="s">
        <v>26</v>
      </c>
      <c r="I29" s="24"/>
      <c r="J29" s="30" t="s">
        <v>26</v>
      </c>
      <c r="N29" s="28"/>
      <c r="S29" s="28"/>
      <c r="X29" s="28"/>
    </row>
    <row r="30" spans="1:24" ht="15.9" customHeight="1" x14ac:dyDescent="0.45">
      <c r="A30" s="22"/>
      <c r="B30" s="23" t="s">
        <v>92</v>
      </c>
      <c r="C30" s="24" t="s">
        <v>93</v>
      </c>
      <c r="D30" s="24" t="s">
        <v>94</v>
      </c>
      <c r="E30" s="43"/>
      <c r="F30" s="44">
        <f t="shared" si="0"/>
        <v>0</v>
      </c>
      <c r="G30" s="25">
        <f>G29/G32*G15*G22*G22</f>
        <v>221019866246311.69</v>
      </c>
      <c r="H30" s="24" t="s">
        <v>95</v>
      </c>
      <c r="I30" s="24"/>
      <c r="J30" s="26" t="s">
        <v>93</v>
      </c>
    </row>
    <row r="31" spans="1:24" ht="15.9" customHeight="1" x14ac:dyDescent="0.45">
      <c r="A31" s="22"/>
      <c r="B31" s="23" t="s">
        <v>96</v>
      </c>
      <c r="C31" s="29" t="s">
        <v>97</v>
      </c>
      <c r="D31" s="45" t="s">
        <v>98</v>
      </c>
      <c r="E31" s="43"/>
      <c r="F31" s="44">
        <f t="shared" si="0"/>
        <v>0</v>
      </c>
      <c r="G31" s="25">
        <f>G30/G15/G15/G15</f>
        <v>221019.86624631166</v>
      </c>
      <c r="H31" s="24" t="s">
        <v>99</v>
      </c>
      <c r="I31" s="24"/>
      <c r="J31" s="30" t="s">
        <v>97</v>
      </c>
      <c r="L31" s="27"/>
      <c r="N31" s="28"/>
      <c r="Q31" s="27"/>
      <c r="S31" s="28"/>
      <c r="V31" s="27"/>
      <c r="X31" s="28"/>
    </row>
    <row r="32" spans="1:24" ht="15.9" customHeight="1" x14ac:dyDescent="0.45">
      <c r="A32" s="22"/>
      <c r="B32" s="23" t="s">
        <v>100</v>
      </c>
      <c r="C32" s="45" t="s">
        <v>101</v>
      </c>
      <c r="D32" s="45" t="s">
        <v>102</v>
      </c>
      <c r="E32" s="43"/>
      <c r="F32" s="44">
        <f t="shared" si="0"/>
        <v>0</v>
      </c>
      <c r="G32" s="46">
        <f>F12/E12</f>
        <v>5.6856294546824271E-12</v>
      </c>
      <c r="H32" s="45" t="s">
        <v>101</v>
      </c>
      <c r="I32" s="24"/>
      <c r="J32" s="47" t="s">
        <v>101</v>
      </c>
    </row>
    <row r="33" spans="1:24" ht="15.9" customHeight="1" x14ac:dyDescent="0.45">
      <c r="A33" s="22"/>
      <c r="B33" s="23" t="s">
        <v>103</v>
      </c>
      <c r="C33" s="24" t="s">
        <v>104</v>
      </c>
      <c r="D33" s="24" t="s">
        <v>105</v>
      </c>
      <c r="E33" s="43"/>
      <c r="F33" s="44">
        <f t="shared" si="0"/>
        <v>0</v>
      </c>
      <c r="G33" s="25">
        <f>G29/G32*G22*G22*G22</f>
        <v>737242.91705267539</v>
      </c>
      <c r="H33" s="24" t="s">
        <v>106</v>
      </c>
      <c r="I33" s="24"/>
      <c r="J33" s="26" t="s">
        <v>104</v>
      </c>
      <c r="N33" s="28"/>
      <c r="S33" s="28"/>
      <c r="X33" s="28"/>
    </row>
    <row r="34" spans="1:24" ht="15.9" customHeight="1" x14ac:dyDescent="0.45">
      <c r="A34" s="22"/>
      <c r="B34" s="23" t="s">
        <v>107</v>
      </c>
      <c r="C34" s="24" t="s">
        <v>83</v>
      </c>
      <c r="D34" s="45" t="s">
        <v>108</v>
      </c>
      <c r="E34" s="43"/>
      <c r="F34" s="44">
        <f t="shared" si="0"/>
        <v>0</v>
      </c>
      <c r="G34" s="25">
        <f>G33/G15/G15</f>
        <v>0.73724291705267531</v>
      </c>
      <c r="H34" s="24" t="s">
        <v>109</v>
      </c>
      <c r="I34" s="24"/>
      <c r="J34" s="26" t="s">
        <v>83</v>
      </c>
    </row>
    <row r="35" spans="1:24" ht="15.9" customHeight="1" x14ac:dyDescent="0.45">
      <c r="A35" s="22"/>
      <c r="B35" s="23" t="s">
        <v>110</v>
      </c>
      <c r="C35" s="29" t="s">
        <v>61</v>
      </c>
      <c r="D35" s="24" t="s">
        <v>56</v>
      </c>
      <c r="E35" s="43"/>
      <c r="F35" s="44">
        <f t="shared" si="0"/>
        <v>0</v>
      </c>
      <c r="G35" s="25">
        <f>G22*G22/G32</f>
        <v>1.9569514069146561</v>
      </c>
      <c r="H35" s="24" t="s">
        <v>111</v>
      </c>
      <c r="I35" s="24"/>
      <c r="J35" s="30" t="s">
        <v>61</v>
      </c>
    </row>
    <row r="36" spans="1:24" ht="15.9" customHeight="1" x14ac:dyDescent="0.45">
      <c r="A36" s="22"/>
      <c r="B36" s="23" t="s">
        <v>112</v>
      </c>
      <c r="C36" s="24" t="s">
        <v>113</v>
      </c>
      <c r="D36" s="45" t="s">
        <v>114</v>
      </c>
      <c r="E36" s="43"/>
      <c r="F36" s="44">
        <f t="shared" si="0"/>
        <v>0</v>
      </c>
      <c r="G36" s="25">
        <f>G22*G22/G32/G15</f>
        <v>1.9569514069146562E-3</v>
      </c>
      <c r="H36" s="24" t="s">
        <v>115</v>
      </c>
      <c r="I36" s="24"/>
      <c r="J36" s="26" t="s">
        <v>113</v>
      </c>
    </row>
    <row r="37" spans="1:24" ht="15.9" customHeight="1" x14ac:dyDescent="0.45">
      <c r="A37" s="22"/>
      <c r="B37" s="23" t="s">
        <v>116</v>
      </c>
      <c r="C37" s="24" t="s">
        <v>94</v>
      </c>
      <c r="D37" s="24" t="s">
        <v>76</v>
      </c>
      <c r="E37" s="43"/>
      <c r="F37" s="44">
        <f t="shared" si="0"/>
        <v>0</v>
      </c>
      <c r="G37" s="25">
        <f>G29*G15</f>
        <v>112940906690561.72</v>
      </c>
      <c r="H37" s="24" t="s">
        <v>117</v>
      </c>
      <c r="I37" s="24"/>
      <c r="J37" s="26" t="s">
        <v>94</v>
      </c>
    </row>
    <row r="38" spans="1:24" ht="15.9" customHeight="1" x14ac:dyDescent="0.45">
      <c r="A38" s="22"/>
      <c r="B38" s="23" t="s">
        <v>118</v>
      </c>
      <c r="C38" s="24" t="s">
        <v>119</v>
      </c>
      <c r="D38" s="29" t="s">
        <v>80</v>
      </c>
      <c r="E38" s="43"/>
      <c r="F38" s="44">
        <f t="shared" si="0"/>
        <v>0</v>
      </c>
      <c r="G38" s="25">
        <f>1/G29/G22</f>
        <v>2.6544187290914775E-6</v>
      </c>
      <c r="H38" s="24" t="s">
        <v>120</v>
      </c>
      <c r="I38" s="24"/>
      <c r="J38" s="26" t="s">
        <v>119</v>
      </c>
    </row>
    <row r="39" spans="1:24" ht="15.9" customHeight="1" x14ac:dyDescent="0.45">
      <c r="A39" s="22"/>
      <c r="B39" s="23" t="s">
        <v>121</v>
      </c>
      <c r="C39" s="24" t="s">
        <v>122</v>
      </c>
      <c r="D39" s="24" t="s">
        <v>123</v>
      </c>
      <c r="E39" s="43"/>
      <c r="F39" s="44">
        <f t="shared" si="0"/>
        <v>0</v>
      </c>
      <c r="G39" s="25">
        <f>G29*G22</f>
        <v>376730.31351096136</v>
      </c>
      <c r="H39" s="24" t="s">
        <v>124</v>
      </c>
      <c r="I39" s="24"/>
      <c r="J39" s="26" t="s">
        <v>122</v>
      </c>
    </row>
    <row r="40" spans="1:24" ht="15.9" customHeight="1" x14ac:dyDescent="0.45">
      <c r="A40" s="22"/>
      <c r="B40" s="23" t="s">
        <v>125</v>
      </c>
      <c r="C40" s="29" t="s">
        <v>51</v>
      </c>
      <c r="D40" s="45" t="s">
        <v>126</v>
      </c>
      <c r="E40" s="43"/>
      <c r="F40" s="44">
        <f t="shared" si="0"/>
        <v>0</v>
      </c>
      <c r="G40" s="25">
        <f>1/G29/G22/G22</f>
        <v>0.79577471535557009</v>
      </c>
      <c r="H40" s="24" t="s">
        <v>127</v>
      </c>
      <c r="I40" s="24"/>
      <c r="J40" s="30" t="s">
        <v>51</v>
      </c>
    </row>
    <row r="41" spans="1:24" ht="15.9" customHeight="1" x14ac:dyDescent="0.45">
      <c r="A41" s="22"/>
      <c r="B41" s="23" t="s">
        <v>128</v>
      </c>
      <c r="C41" s="24" t="s">
        <v>129</v>
      </c>
      <c r="D41" s="24" t="s">
        <v>130</v>
      </c>
      <c r="E41" s="43"/>
      <c r="F41" s="44">
        <f t="shared" si="0"/>
        <v>0</v>
      </c>
      <c r="G41" s="25">
        <f>G22/G15/G32</f>
        <v>586.67927246550289</v>
      </c>
      <c r="H41" s="24" t="s">
        <v>131</v>
      </c>
      <c r="I41" s="24"/>
      <c r="J41" s="26" t="s">
        <v>129</v>
      </c>
    </row>
    <row r="42" spans="1:24" ht="15.9" customHeight="1" x14ac:dyDescent="0.45">
      <c r="A42" s="22"/>
      <c r="B42" s="23" t="s">
        <v>132</v>
      </c>
      <c r="C42" s="24" t="s">
        <v>133</v>
      </c>
      <c r="D42" s="24" t="s">
        <v>134</v>
      </c>
      <c r="E42" s="43"/>
      <c r="F42" s="44">
        <f t="shared" si="0"/>
        <v>0</v>
      </c>
      <c r="G42" s="25">
        <f>1/G29/G22/G22*G15</f>
        <v>795.77471535557015</v>
      </c>
      <c r="H42" s="29" t="s">
        <v>135</v>
      </c>
      <c r="I42" s="24"/>
      <c r="J42" s="26" t="s">
        <v>133</v>
      </c>
    </row>
    <row r="43" spans="1:24" ht="15.9" customHeight="1" x14ac:dyDescent="0.45">
      <c r="A43" s="35"/>
      <c r="B43" s="48" t="s">
        <v>136</v>
      </c>
      <c r="C43" s="37" t="s">
        <v>130</v>
      </c>
      <c r="D43" s="37" t="s">
        <v>137</v>
      </c>
      <c r="E43" s="49"/>
      <c r="F43" s="50">
        <f t="shared" si="0"/>
        <v>0</v>
      </c>
      <c r="G43" s="38">
        <f>G27/G13</f>
        <v>432525138206808.69</v>
      </c>
      <c r="H43" s="51" t="s">
        <v>138</v>
      </c>
      <c r="I43" s="37"/>
      <c r="J43" s="41" t="s">
        <v>130</v>
      </c>
    </row>
    <row r="44" spans="1:24" x14ac:dyDescent="0.45">
      <c r="C44"/>
      <c r="D44"/>
      <c r="E44"/>
      <c r="F44"/>
      <c r="G44"/>
      <c r="H44"/>
      <c r="I44"/>
    </row>
    <row r="45" spans="1:24" x14ac:dyDescent="0.45">
      <c r="C45"/>
      <c r="D45"/>
      <c r="E45"/>
      <c r="F45"/>
      <c r="G45"/>
      <c r="H45"/>
      <c r="I45"/>
    </row>
    <row r="46" spans="1:24" ht="15.9" customHeight="1" x14ac:dyDescent="0.45">
      <c r="A46" s="16"/>
      <c r="B46" s="17"/>
      <c r="C46" s="18"/>
      <c r="D46" s="18"/>
      <c r="E46" s="19"/>
      <c r="F46" s="19"/>
      <c r="G46" s="19"/>
      <c r="H46" s="18"/>
      <c r="I46" s="18"/>
      <c r="J46" s="21"/>
    </row>
    <row r="47" spans="1:24" ht="15.9" customHeight="1" x14ac:dyDescent="0.45">
      <c r="A47" s="22" t="s">
        <v>139</v>
      </c>
      <c r="B47" s="23" t="s">
        <v>53</v>
      </c>
      <c r="C47" s="24" t="s">
        <v>51</v>
      </c>
      <c r="D47" s="24" t="s">
        <v>54</v>
      </c>
      <c r="E47" s="44">
        <f t="shared" ref="E47:E71" si="1">F47/G47</f>
        <v>0</v>
      </c>
      <c r="F47" s="43"/>
      <c r="G47" s="25">
        <f t="shared" ref="G47:G71" si="2">G19</f>
        <v>3.8873420789722712E+25</v>
      </c>
      <c r="H47" s="24" t="s">
        <v>55</v>
      </c>
      <c r="I47" s="24"/>
      <c r="J47" s="26" t="s">
        <v>51</v>
      </c>
    </row>
    <row r="48" spans="1:24" ht="15.9" customHeight="1" x14ac:dyDescent="0.45">
      <c r="A48" s="22"/>
      <c r="B48" s="23" t="s">
        <v>57</v>
      </c>
      <c r="C48" s="24" t="s">
        <v>39</v>
      </c>
      <c r="D48" s="24" t="s">
        <v>58</v>
      </c>
      <c r="E48" s="44">
        <f t="shared" si="1"/>
        <v>0</v>
      </c>
      <c r="F48" s="43"/>
      <c r="G48" s="25">
        <f t="shared" si="2"/>
        <v>299792458</v>
      </c>
      <c r="H48" s="24" t="s">
        <v>59</v>
      </c>
      <c r="I48" s="24"/>
      <c r="J48" s="26" t="s">
        <v>39</v>
      </c>
    </row>
    <row r="49" spans="1:10" ht="15.9" customHeight="1" x14ac:dyDescent="0.45">
      <c r="A49" s="22"/>
      <c r="B49" s="23" t="s">
        <v>60</v>
      </c>
      <c r="C49" s="24" t="s">
        <v>61</v>
      </c>
      <c r="D49" s="24" t="s">
        <v>62</v>
      </c>
      <c r="E49" s="44">
        <f t="shared" si="1"/>
        <v>0</v>
      </c>
      <c r="F49" s="43"/>
      <c r="G49" s="25">
        <f t="shared" si="2"/>
        <v>3.3356409519815204E-9</v>
      </c>
      <c r="H49" s="24" t="s">
        <v>63</v>
      </c>
      <c r="I49" s="24"/>
      <c r="J49" s="26" t="s">
        <v>61</v>
      </c>
    </row>
    <row r="50" spans="1:10" ht="15.9" customHeight="1" x14ac:dyDescent="0.45">
      <c r="A50" s="22"/>
      <c r="B50" s="23" t="s">
        <v>64</v>
      </c>
      <c r="C50" s="24" t="s">
        <v>65</v>
      </c>
      <c r="D50" s="45" t="s">
        <v>66</v>
      </c>
      <c r="E50" s="44">
        <f t="shared" si="1"/>
        <v>0</v>
      </c>
      <c r="F50" s="43"/>
      <c r="G50" s="46">
        <f t="shared" si="2"/>
        <v>3.3356409519815205E-6</v>
      </c>
      <c r="H50" s="24" t="s">
        <v>65</v>
      </c>
      <c r="I50" s="24"/>
      <c r="J50" s="26" t="s">
        <v>65</v>
      </c>
    </row>
    <row r="51" spans="1:10" ht="15.9" customHeight="1" x14ac:dyDescent="0.45">
      <c r="A51" s="22"/>
      <c r="B51" s="23" t="s">
        <v>67</v>
      </c>
      <c r="C51" s="24" t="s">
        <v>68</v>
      </c>
      <c r="D51" s="45" t="s">
        <v>69</v>
      </c>
      <c r="E51" s="44">
        <f t="shared" si="1"/>
        <v>0</v>
      </c>
      <c r="F51" s="43"/>
      <c r="G51" s="25">
        <f t="shared" si="2"/>
        <v>9.9999999999999986E-10</v>
      </c>
      <c r="H51" s="24" t="s">
        <v>70</v>
      </c>
      <c r="I51" s="24"/>
      <c r="J51" s="26" t="s">
        <v>68</v>
      </c>
    </row>
    <row r="52" spans="1:10" ht="15.9" customHeight="1" x14ac:dyDescent="0.45">
      <c r="A52" s="22"/>
      <c r="B52" s="23" t="s">
        <v>71</v>
      </c>
      <c r="C52" s="24" t="s">
        <v>72</v>
      </c>
      <c r="D52" s="45" t="s">
        <v>73</v>
      </c>
      <c r="E52" s="44">
        <f t="shared" si="1"/>
        <v>0</v>
      </c>
      <c r="F52" s="43"/>
      <c r="G52" s="25">
        <f t="shared" si="2"/>
        <v>3.3356409519815201E-15</v>
      </c>
      <c r="H52" s="24" t="s">
        <v>74</v>
      </c>
      <c r="I52" s="24"/>
      <c r="J52" s="26" t="s">
        <v>72</v>
      </c>
    </row>
    <row r="53" spans="1:10" ht="15.9" customHeight="1" x14ac:dyDescent="0.45">
      <c r="A53" s="22"/>
      <c r="B53" s="23" t="s">
        <v>75</v>
      </c>
      <c r="C53" s="24" t="s">
        <v>76</v>
      </c>
      <c r="D53" s="24" t="s">
        <v>72</v>
      </c>
      <c r="E53" s="44">
        <f t="shared" si="1"/>
        <v>0</v>
      </c>
      <c r="F53" s="43"/>
      <c r="G53" s="25">
        <f t="shared" si="2"/>
        <v>432525138206.80878</v>
      </c>
      <c r="H53" s="24" t="s">
        <v>77</v>
      </c>
      <c r="I53" s="24"/>
      <c r="J53" s="26" t="s">
        <v>76</v>
      </c>
    </row>
    <row r="54" spans="1:10" ht="15.9" customHeight="1" x14ac:dyDescent="0.45">
      <c r="A54" s="22"/>
      <c r="B54" s="23" t="s">
        <v>78</v>
      </c>
      <c r="C54" s="24" t="s">
        <v>79</v>
      </c>
      <c r="D54" s="24" t="s">
        <v>80</v>
      </c>
      <c r="E54" s="44">
        <f t="shared" si="1"/>
        <v>0</v>
      </c>
      <c r="F54" s="43"/>
      <c r="G54" s="25">
        <f t="shared" si="2"/>
        <v>1442748.5637640981</v>
      </c>
      <c r="H54" s="24" t="s">
        <v>81</v>
      </c>
      <c r="I54" s="24"/>
      <c r="J54" s="26" t="s">
        <v>79</v>
      </c>
    </row>
    <row r="55" spans="1:10" ht="15.9" customHeight="1" x14ac:dyDescent="0.45">
      <c r="A55" s="22"/>
      <c r="B55" s="23" t="s">
        <v>82</v>
      </c>
      <c r="C55" s="24" t="s">
        <v>80</v>
      </c>
      <c r="D55" s="24" t="s">
        <v>83</v>
      </c>
      <c r="E55" s="44">
        <f t="shared" si="1"/>
        <v>0</v>
      </c>
      <c r="F55" s="43"/>
      <c r="G55" s="25">
        <f t="shared" si="2"/>
        <v>432525138206808.69</v>
      </c>
      <c r="H55" s="24" t="s">
        <v>84</v>
      </c>
      <c r="I55" s="24"/>
      <c r="J55" s="26" t="s">
        <v>80</v>
      </c>
    </row>
    <row r="56" spans="1:10" ht="15.9" customHeight="1" x14ac:dyDescent="0.45">
      <c r="A56" s="22"/>
      <c r="B56" s="23" t="s">
        <v>85</v>
      </c>
      <c r="C56" s="24" t="s">
        <v>86</v>
      </c>
      <c r="D56" s="45" t="s">
        <v>87</v>
      </c>
      <c r="E56" s="44">
        <f t="shared" si="1"/>
        <v>0</v>
      </c>
      <c r="F56" s="43"/>
      <c r="G56" s="25">
        <f t="shared" si="2"/>
        <v>432525.13820680871</v>
      </c>
      <c r="H56" s="24" t="s">
        <v>88</v>
      </c>
      <c r="I56" s="24"/>
      <c r="J56" s="26" t="s">
        <v>86</v>
      </c>
    </row>
    <row r="57" spans="1:10" ht="15.9" customHeight="1" x14ac:dyDescent="0.45">
      <c r="A57" s="22"/>
      <c r="B57" s="23" t="s">
        <v>90</v>
      </c>
      <c r="C57" s="29" t="s">
        <v>26</v>
      </c>
      <c r="D57" s="45" t="s">
        <v>91</v>
      </c>
      <c r="E57" s="44">
        <f t="shared" si="1"/>
        <v>0</v>
      </c>
      <c r="F57" s="43"/>
      <c r="G57" s="46">
        <f t="shared" si="2"/>
        <v>112940906690.56172</v>
      </c>
      <c r="H57" s="29" t="s">
        <v>26</v>
      </c>
      <c r="I57" s="24"/>
      <c r="J57" s="30" t="s">
        <v>26</v>
      </c>
    </row>
    <row r="58" spans="1:10" ht="15.9" customHeight="1" x14ac:dyDescent="0.45">
      <c r="A58" s="22"/>
      <c r="B58" s="23" t="s">
        <v>92</v>
      </c>
      <c r="C58" s="24" t="s">
        <v>93</v>
      </c>
      <c r="D58" s="24" t="s">
        <v>94</v>
      </c>
      <c r="E58" s="44">
        <f t="shared" si="1"/>
        <v>0</v>
      </c>
      <c r="F58" s="43"/>
      <c r="G58" s="25">
        <f t="shared" si="2"/>
        <v>221019866246311.69</v>
      </c>
      <c r="H58" s="24" t="s">
        <v>95</v>
      </c>
      <c r="I58" s="24"/>
      <c r="J58" s="26" t="s">
        <v>93</v>
      </c>
    </row>
    <row r="59" spans="1:10" ht="15.9" customHeight="1" x14ac:dyDescent="0.45">
      <c r="A59" s="22"/>
      <c r="B59" s="23" t="s">
        <v>96</v>
      </c>
      <c r="C59" s="29" t="s">
        <v>97</v>
      </c>
      <c r="D59" s="45" t="s">
        <v>98</v>
      </c>
      <c r="E59" s="44">
        <f t="shared" si="1"/>
        <v>0</v>
      </c>
      <c r="F59" s="43"/>
      <c r="G59" s="25">
        <f t="shared" si="2"/>
        <v>221019.86624631166</v>
      </c>
      <c r="H59" s="24" t="s">
        <v>99</v>
      </c>
      <c r="I59" s="24"/>
      <c r="J59" s="30" t="s">
        <v>97</v>
      </c>
    </row>
    <row r="60" spans="1:10" ht="15.9" customHeight="1" x14ac:dyDescent="0.45">
      <c r="A60" s="22"/>
      <c r="B60" s="23" t="s">
        <v>100</v>
      </c>
      <c r="C60" s="45" t="s">
        <v>101</v>
      </c>
      <c r="D60" s="45" t="s">
        <v>102</v>
      </c>
      <c r="E60" s="44">
        <f t="shared" si="1"/>
        <v>0</v>
      </c>
      <c r="F60" s="43"/>
      <c r="G60" s="46">
        <f t="shared" si="2"/>
        <v>5.6856294546824271E-12</v>
      </c>
      <c r="H60" s="45" t="s">
        <v>101</v>
      </c>
      <c r="I60" s="24"/>
      <c r="J60" s="47" t="s">
        <v>101</v>
      </c>
    </row>
    <row r="61" spans="1:10" ht="15.9" customHeight="1" x14ac:dyDescent="0.45">
      <c r="A61" s="22"/>
      <c r="B61" s="23" t="s">
        <v>103</v>
      </c>
      <c r="C61" s="24" t="s">
        <v>104</v>
      </c>
      <c r="D61" s="24" t="s">
        <v>105</v>
      </c>
      <c r="E61" s="44">
        <f t="shared" si="1"/>
        <v>0</v>
      </c>
      <c r="F61" s="43"/>
      <c r="G61" s="25">
        <f t="shared" si="2"/>
        <v>737242.91705267539</v>
      </c>
      <c r="H61" s="24" t="s">
        <v>106</v>
      </c>
      <c r="I61" s="24"/>
      <c r="J61" s="26" t="s">
        <v>104</v>
      </c>
    </row>
    <row r="62" spans="1:10" ht="15.9" customHeight="1" x14ac:dyDescent="0.45">
      <c r="A62" s="22"/>
      <c r="B62" s="23" t="s">
        <v>107</v>
      </c>
      <c r="C62" s="24" t="s">
        <v>83</v>
      </c>
      <c r="D62" s="45" t="s">
        <v>108</v>
      </c>
      <c r="E62" s="44">
        <f t="shared" si="1"/>
        <v>0</v>
      </c>
      <c r="F62" s="43"/>
      <c r="G62" s="25">
        <f t="shared" si="2"/>
        <v>0.73724291705267531</v>
      </c>
      <c r="H62" s="24" t="s">
        <v>109</v>
      </c>
      <c r="I62" s="24"/>
      <c r="J62" s="26" t="s">
        <v>83</v>
      </c>
    </row>
    <row r="63" spans="1:10" ht="15.9" customHeight="1" x14ac:dyDescent="0.45">
      <c r="A63" s="22"/>
      <c r="B63" s="23" t="s">
        <v>110</v>
      </c>
      <c r="C63" s="29" t="s">
        <v>61</v>
      </c>
      <c r="D63" s="24" t="s">
        <v>56</v>
      </c>
      <c r="E63" s="44">
        <f t="shared" si="1"/>
        <v>0</v>
      </c>
      <c r="F63" s="43"/>
      <c r="G63" s="25">
        <f t="shared" si="2"/>
        <v>1.9569514069146561</v>
      </c>
      <c r="H63" s="24" t="s">
        <v>111</v>
      </c>
      <c r="I63" s="24"/>
      <c r="J63" s="30" t="s">
        <v>61</v>
      </c>
    </row>
    <row r="64" spans="1:10" ht="15.9" customHeight="1" x14ac:dyDescent="0.45">
      <c r="A64" s="22"/>
      <c r="B64" s="23" t="s">
        <v>112</v>
      </c>
      <c r="C64" s="24" t="s">
        <v>113</v>
      </c>
      <c r="D64" s="45" t="s">
        <v>114</v>
      </c>
      <c r="E64" s="44">
        <f t="shared" si="1"/>
        <v>0</v>
      </c>
      <c r="F64" s="43"/>
      <c r="G64" s="25">
        <f t="shared" si="2"/>
        <v>1.9569514069146562E-3</v>
      </c>
      <c r="H64" s="24" t="s">
        <v>115</v>
      </c>
      <c r="I64" s="24"/>
      <c r="J64" s="26" t="s">
        <v>113</v>
      </c>
    </row>
    <row r="65" spans="1:10" ht="15.9" customHeight="1" x14ac:dyDescent="0.45">
      <c r="A65" s="22"/>
      <c r="B65" s="23" t="s">
        <v>116</v>
      </c>
      <c r="C65" s="24" t="s">
        <v>94</v>
      </c>
      <c r="D65" s="24" t="s">
        <v>76</v>
      </c>
      <c r="E65" s="44">
        <f t="shared" si="1"/>
        <v>0</v>
      </c>
      <c r="F65" s="43"/>
      <c r="G65" s="25">
        <f t="shared" si="2"/>
        <v>112940906690561.72</v>
      </c>
      <c r="H65" s="24" t="s">
        <v>117</v>
      </c>
      <c r="I65" s="24"/>
      <c r="J65" s="26" t="s">
        <v>94</v>
      </c>
    </row>
    <row r="66" spans="1:10" ht="15.9" customHeight="1" x14ac:dyDescent="0.45">
      <c r="A66" s="22"/>
      <c r="B66" s="23" t="s">
        <v>118</v>
      </c>
      <c r="C66" s="24" t="s">
        <v>119</v>
      </c>
      <c r="D66" s="29" t="s">
        <v>80</v>
      </c>
      <c r="E66" s="44">
        <f t="shared" si="1"/>
        <v>0</v>
      </c>
      <c r="F66" s="43"/>
      <c r="G66" s="25">
        <f t="shared" si="2"/>
        <v>2.6544187290914775E-6</v>
      </c>
      <c r="H66" s="24" t="s">
        <v>120</v>
      </c>
      <c r="I66" s="24"/>
      <c r="J66" s="26" t="s">
        <v>119</v>
      </c>
    </row>
    <row r="67" spans="1:10" ht="15.9" customHeight="1" x14ac:dyDescent="0.45">
      <c r="A67" s="22"/>
      <c r="B67" s="23" t="s">
        <v>121</v>
      </c>
      <c r="C67" s="24" t="s">
        <v>122</v>
      </c>
      <c r="D67" s="24" t="s">
        <v>123</v>
      </c>
      <c r="E67" s="44">
        <f t="shared" si="1"/>
        <v>0</v>
      </c>
      <c r="F67" s="43"/>
      <c r="G67" s="25">
        <f t="shared" si="2"/>
        <v>376730.31351096136</v>
      </c>
      <c r="H67" s="24" t="s">
        <v>124</v>
      </c>
      <c r="I67" s="24"/>
      <c r="J67" s="26" t="s">
        <v>122</v>
      </c>
    </row>
    <row r="68" spans="1:10" ht="15.9" customHeight="1" x14ac:dyDescent="0.45">
      <c r="A68" s="22"/>
      <c r="B68" s="23" t="s">
        <v>125</v>
      </c>
      <c r="C68" s="29" t="s">
        <v>51</v>
      </c>
      <c r="D68" s="45" t="s">
        <v>126</v>
      </c>
      <c r="E68" s="44">
        <f t="shared" si="1"/>
        <v>0</v>
      </c>
      <c r="F68" s="43"/>
      <c r="G68" s="25">
        <f t="shared" si="2"/>
        <v>0.79577471535557009</v>
      </c>
      <c r="H68" s="24" t="s">
        <v>127</v>
      </c>
      <c r="I68" s="24"/>
      <c r="J68" s="30" t="s">
        <v>51</v>
      </c>
    </row>
    <row r="69" spans="1:10" ht="15.9" customHeight="1" x14ac:dyDescent="0.45">
      <c r="A69" s="22"/>
      <c r="B69" s="23" t="s">
        <v>128</v>
      </c>
      <c r="C69" s="24" t="s">
        <v>129</v>
      </c>
      <c r="D69" s="24" t="s">
        <v>130</v>
      </c>
      <c r="E69" s="44">
        <f t="shared" si="1"/>
        <v>0</v>
      </c>
      <c r="F69" s="43"/>
      <c r="G69" s="25">
        <f t="shared" si="2"/>
        <v>586.67927246550289</v>
      </c>
      <c r="H69" s="24" t="s">
        <v>131</v>
      </c>
      <c r="I69" s="24"/>
      <c r="J69" s="26" t="s">
        <v>129</v>
      </c>
    </row>
    <row r="70" spans="1:10" ht="15.9" customHeight="1" x14ac:dyDescent="0.45">
      <c r="A70" s="22"/>
      <c r="B70" s="23" t="s">
        <v>132</v>
      </c>
      <c r="C70" s="24" t="s">
        <v>133</v>
      </c>
      <c r="D70" s="24" t="s">
        <v>134</v>
      </c>
      <c r="E70" s="44">
        <f t="shared" si="1"/>
        <v>0</v>
      </c>
      <c r="F70" s="43"/>
      <c r="G70" s="25">
        <f t="shared" si="2"/>
        <v>795.77471535557015</v>
      </c>
      <c r="H70" s="29" t="s">
        <v>135</v>
      </c>
      <c r="I70" s="24"/>
      <c r="J70" s="26" t="s">
        <v>133</v>
      </c>
    </row>
    <row r="71" spans="1:10" ht="15.9" customHeight="1" x14ac:dyDescent="0.45">
      <c r="A71" s="35"/>
      <c r="B71" s="48" t="s">
        <v>136</v>
      </c>
      <c r="C71" s="37" t="s">
        <v>130</v>
      </c>
      <c r="D71" s="37" t="s">
        <v>137</v>
      </c>
      <c r="E71" s="50">
        <f t="shared" si="1"/>
        <v>0</v>
      </c>
      <c r="F71" s="49"/>
      <c r="G71" s="38">
        <f t="shared" si="2"/>
        <v>432525138206808.69</v>
      </c>
      <c r="H71" s="51" t="s">
        <v>138</v>
      </c>
      <c r="I71" s="37"/>
      <c r="J71" s="41" t="s">
        <v>130</v>
      </c>
    </row>
    <row r="72" spans="1:10" ht="15.9" customHeight="1" x14ac:dyDescent="0.45">
      <c r="A72" s="52"/>
      <c r="B72" s="52"/>
      <c r="C72" s="53"/>
      <c r="D72" s="53"/>
      <c r="E72" s="54"/>
      <c r="F72" s="54"/>
      <c r="G72" s="54"/>
      <c r="H72" s="53"/>
      <c r="I72" s="53"/>
    </row>
  </sheetData>
  <mergeCells count="2">
    <mergeCell ref="A3:A4"/>
    <mergeCell ref="A6:A13"/>
  </mergeCells>
  <phoneticPr fontId="5"/>
  <pageMargins left="0.78680555555555598" right="0.78680555555555598" top="0.98402777777777795" bottom="0.98402777777777795" header="0.51180555555555496" footer="0.51180555555555496"/>
  <pageSetup paperSize="9" firstPageNumber="0" orientation="portrait" horizontalDpi="1200" verticalDpi="1200" r:id="rId1"/>
  <rowBreaks count="2" manualBreakCount="2">
    <brk id="16" max="16383" man="1"/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7147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y-miyake</dc:creator>
  <cp:lastModifiedBy>三宅洋平</cp:lastModifiedBy>
  <cp:revision>5</cp:revision>
  <cp:lastPrinted>2015-06-23T18:43:42Z</cp:lastPrinted>
  <dcterms:created xsi:type="dcterms:W3CDTF">2011-04-04T05:25:39Z</dcterms:created>
  <dcterms:modified xsi:type="dcterms:W3CDTF">2023-05-08T10:47:05Z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